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Default Extension="vml" ContentType="application/vnd.openxmlformats-officedocument.vmlDrawing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enzugy\Dokumentumok\2020_június\"/>
    </mc:Choice>
  </mc:AlternateContent>
  <xr:revisionPtr revIDLastSave="0" documentId="13_ncr:1_{0227E003-FF7D-43DE-B995-3BF0BB41C001}" xr6:coauthVersionLast="45" xr6:coauthVersionMax="45" xr10:uidLastSave="{00000000-0000-0000-0000-000000000000}"/>
  <bookViews>
    <workbookView xWindow="-120" yWindow="-120" windowWidth="29040" windowHeight="15840" tabRatio="581" firstSheet="1" activeTab="1" xr2:uid="{00000000-000D-0000-FFFF-FFFF00000000}"/>
  </bookViews>
  <sheets>
    <sheet name="0000000000000" sheetId="1" state="veryHidden" r:id="rId1"/>
    <sheet name="1.sz. melléklet" sheetId="46" r:id="rId2"/>
    <sheet name="2.sz.melléklet" sheetId="55" r:id="rId3"/>
    <sheet name="3.sz.melléklet" sheetId="54" r:id="rId4"/>
    <sheet name="4. sz.melléklet" sheetId="56" r:id="rId5"/>
    <sheet name="5. sz.melléklet" sheetId="43" r:id="rId6"/>
    <sheet name="5.a.sz. melléklet" sheetId="45" r:id="rId7"/>
    <sheet name="5.b.sz. melléklet" sheetId="3" r:id="rId8"/>
    <sheet name="6. sz.melléklet" sheetId="44" r:id="rId9"/>
    <sheet name="6.a.sz. melléklet" sheetId="9" r:id="rId10"/>
    <sheet name="6.b.sz.melléklet" sheetId="8" r:id="rId11"/>
    <sheet name="6.c.sz. melléklet" sheetId="34" r:id="rId12"/>
    <sheet name="7.sz.melléklet" sheetId="49" r:id="rId13"/>
    <sheet name="8.sz. melléklet" sheetId="31" r:id="rId14"/>
    <sheet name="9.sz. melléklet" sheetId="35" r:id="rId15"/>
    <sheet name="10.sz. melléklet " sheetId="47" r:id="rId16"/>
    <sheet name="11.sz.melléklet" sheetId="50" r:id="rId17"/>
    <sheet name="11.a.sz.melléklet" sheetId="53" r:id="rId18"/>
    <sheet name="12.sz.melléklet" sheetId="10" r:id="rId19"/>
    <sheet name="12.a.sz.melléklet" sheetId="52" r:id="rId20"/>
    <sheet name="13.sz.melléklet" sheetId="41" r:id="rId21"/>
    <sheet name="13.a.sz. melléklet" sheetId="58" r:id="rId22"/>
    <sheet name="14.sz.melléklet" sheetId="38" r:id="rId23"/>
    <sheet name="14.a.sz. melléklet" sheetId="59" r:id="rId24"/>
    <sheet name="15.sz.melléklet" sheetId="39" r:id="rId25"/>
    <sheet name="15.a.sz.melléklet" sheetId="60" r:id="rId26"/>
    <sheet name="16.sz. melléklet" sheetId="40" r:id="rId27"/>
    <sheet name="16.a.sz. melléklet" sheetId="61" r:id="rId28"/>
    <sheet name="17. sz.melléklet" sheetId="21" r:id="rId29"/>
    <sheet name="18.sz.melléklet" sheetId="51" r:id="rId30"/>
    <sheet name="19.sz.melléklet" sheetId="62" r:id="rId31"/>
    <sheet name="20.sz. melléklet" sheetId="63" r:id="rId32"/>
    <sheet name="21.sz.melléklet" sheetId="65" r:id="rId33"/>
  </sheets>
  <definedNames>
    <definedName name="_xlnm.Print_Titles" localSheetId="8">'6. sz.melléklet'!$3:$3</definedName>
    <definedName name="_xlnm.Print_Area" localSheetId="1">'1.sz. melléklet'!$A$1:$N$31</definedName>
    <definedName name="_xlnm.Print_Area" localSheetId="15">'10.sz. melléklet '!$A$1:$H$8</definedName>
    <definedName name="_xlnm.Print_Area" localSheetId="28">'17. sz.melléklet'!$A$1:$N$106</definedName>
    <definedName name="_xlnm.Print_Area" localSheetId="4">'4. sz.melléklet'!$A$1:$N$32</definedName>
    <definedName name="_xlnm.Print_Area" localSheetId="5">'5. sz.melléklet'!$A$1:$D$55</definedName>
    <definedName name="_xlnm.Print_Area" localSheetId="7">'5.b.sz. melléklet'!$A$1:$E$34</definedName>
    <definedName name="_xlnm.Print_Area" localSheetId="13">'8.sz. melléklet'!$A$1:$G$62</definedName>
    <definedName name="_xlnm.Print_Area" localSheetId="14">'9.sz. melléklet'!$A$1:$J$23</definedName>
    <definedName name="sora__5" localSheetId="17">'11.a.sz.melléklet'!$A$15</definedName>
    <definedName name="sora__5" localSheetId="16">'11.sz.melléklet'!$A$8</definedName>
    <definedName name="sora__6" localSheetId="17">'11.a.sz.melléklet'!#REF!</definedName>
    <definedName name="sora__6" localSheetId="16">'11.sz.melléklet'!#REF!</definedName>
    <definedName name="sora__7" localSheetId="17">'11.a.sz.melléklet'!#REF!</definedName>
    <definedName name="sora__7" localSheetId="16">'11.sz.melléklet'!#REF!</definedName>
    <definedName name="sora__8" localSheetId="17">'11.a.sz.melléklet'!#REF!</definedName>
    <definedName name="sora__8" localSheetId="16">'11.sz.melléklet'!#REF!</definedName>
    <definedName name="sora__9" localSheetId="17">'11.a.sz.melléklet'!#REF!</definedName>
    <definedName name="sora__9" localSheetId="16">'11.sz.melléklet'!#REF!</definedName>
    <definedName name="sora__a" localSheetId="17">'11.a.sz.melléklet'!#REF!</definedName>
    <definedName name="sora__a" localSheetId="16">'11.sz.melléklet'!#REF!</definedName>
    <definedName name="sora__b" localSheetId="17">'11.a.sz.melléklet'!#REF!</definedName>
    <definedName name="sora__b" localSheetId="16">'11.sz.melléklet'!#REF!</definedName>
  </definedNames>
  <calcPr calcId="181029"/>
</workbook>
</file>

<file path=xl/calcChain.xml><?xml version="1.0" encoding="utf-8"?>
<calcChain xmlns="http://schemas.openxmlformats.org/spreadsheetml/2006/main">
  <c r="G45" i="31" l="1"/>
  <c r="N115" i="55" l="1"/>
  <c r="N160" i="55"/>
  <c r="N220" i="55"/>
  <c r="N261" i="55" s="1"/>
  <c r="P261" i="55"/>
  <c r="K7" i="44"/>
  <c r="M19" i="44"/>
  <c r="N19" i="44" s="1"/>
  <c r="E13" i="55"/>
  <c r="K13" i="55"/>
  <c r="D220" i="55"/>
  <c r="E220" i="55"/>
  <c r="F220" i="55"/>
  <c r="G220" i="55"/>
  <c r="H220" i="55"/>
  <c r="I220" i="55"/>
  <c r="J220" i="55"/>
  <c r="L220" i="55"/>
  <c r="M220" i="55"/>
  <c r="C220" i="55"/>
  <c r="E160" i="55"/>
  <c r="E115" i="55"/>
  <c r="E196" i="55"/>
  <c r="D196" i="55"/>
  <c r="C196" i="55"/>
  <c r="O15" i="46"/>
  <c r="M105" i="44"/>
  <c r="O20" i="46"/>
  <c r="O19" i="46"/>
  <c r="O18" i="46"/>
  <c r="O12" i="46"/>
  <c r="O13" i="46" s="1"/>
  <c r="M29" i="46"/>
  <c r="M20" i="46"/>
  <c r="M19" i="46"/>
  <c r="M18" i="46"/>
  <c r="M12" i="46"/>
  <c r="D31" i="65"/>
  <c r="E31" i="65"/>
  <c r="F31" i="65"/>
  <c r="G31" i="65"/>
  <c r="C31" i="65"/>
  <c r="G40" i="65"/>
  <c r="D40" i="65"/>
  <c r="D11" i="65"/>
  <c r="E11" i="65"/>
  <c r="F11" i="65"/>
  <c r="C11" i="65"/>
  <c r="F28" i="65"/>
  <c r="E28" i="65"/>
  <c r="D28" i="65"/>
  <c r="C28" i="65"/>
  <c r="E27" i="65"/>
  <c r="D27" i="65"/>
  <c r="C27" i="65"/>
  <c r="G8" i="65"/>
  <c r="G11" i="65" s="1"/>
  <c r="D16" i="65" s="1"/>
  <c r="D19" i="65" s="1"/>
  <c r="G7" i="65"/>
  <c r="F11" i="39"/>
  <c r="F10" i="39"/>
  <c r="G27" i="65" l="1"/>
  <c r="G28" i="65"/>
  <c r="G15" i="65" l="1"/>
  <c r="D36" i="65"/>
  <c r="G16" i="65"/>
  <c r="G19" i="65" s="1"/>
  <c r="D37" i="65"/>
  <c r="G37" i="65" l="1"/>
  <c r="G36" i="65"/>
  <c r="N147" i="49" l="1"/>
  <c r="E171" i="49"/>
  <c r="N129" i="49"/>
  <c r="E129" i="49"/>
  <c r="D147" i="49"/>
  <c r="C147" i="49"/>
  <c r="E93" i="49"/>
  <c r="K13" i="49"/>
  <c r="K105" i="44"/>
  <c r="D105" i="44"/>
  <c r="E105" i="44"/>
  <c r="F105" i="44"/>
  <c r="G105" i="44"/>
  <c r="H105" i="44"/>
  <c r="I105" i="44"/>
  <c r="J105" i="44"/>
  <c r="L105" i="44"/>
  <c r="C105" i="44"/>
  <c r="D65" i="45"/>
  <c r="K14" i="45"/>
  <c r="E14" i="45"/>
  <c r="D7" i="43"/>
  <c r="D50" i="43"/>
  <c r="E24" i="3"/>
  <c r="D7" i="44"/>
  <c r="C7" i="44"/>
  <c r="E7" i="44"/>
  <c r="E79" i="44"/>
  <c r="H79" i="44"/>
  <c r="H8" i="9"/>
  <c r="K68" i="45"/>
  <c r="D25" i="44"/>
  <c r="C25" i="44"/>
  <c r="L10" i="44"/>
  <c r="N61" i="44"/>
  <c r="N13" i="44"/>
  <c r="N79" i="44" l="1"/>
  <c r="F50" i="51"/>
  <c r="I6" i="60"/>
  <c r="C46" i="51"/>
  <c r="G73" i="40"/>
  <c r="C73" i="40"/>
  <c r="D17" i="40"/>
  <c r="C17" i="40"/>
  <c r="D8" i="39"/>
  <c r="C8" i="39"/>
  <c r="D14" i="39"/>
  <c r="C14" i="39"/>
  <c r="D14" i="38"/>
  <c r="D17" i="38"/>
  <c r="C17" i="38"/>
  <c r="C14" i="38"/>
  <c r="D8" i="38"/>
  <c r="C8" i="38"/>
  <c r="D14" i="41"/>
  <c r="C14" i="41"/>
  <c r="C8" i="41"/>
  <c r="D8" i="41"/>
  <c r="M13" i="44"/>
  <c r="E20" i="3" l="1"/>
  <c r="C53" i="38"/>
  <c r="D53" i="38"/>
  <c r="E56" i="39"/>
  <c r="H55" i="9"/>
  <c r="E241" i="55"/>
  <c r="F256" i="55"/>
  <c r="G256" i="55"/>
  <c r="J256" i="55"/>
  <c r="K256" i="55"/>
  <c r="L256" i="55"/>
  <c r="M256" i="55"/>
  <c r="H196" i="55"/>
  <c r="E202" i="55"/>
  <c r="M115" i="55"/>
  <c r="H127" i="55"/>
  <c r="I124" i="55"/>
  <c r="E145" i="55"/>
  <c r="E143" i="55"/>
  <c r="E166" i="55"/>
  <c r="C193" i="55"/>
  <c r="D193" i="55"/>
  <c r="E193" i="55"/>
  <c r="H193" i="55"/>
  <c r="N196" i="55"/>
  <c r="C34" i="40"/>
  <c r="K6" i="46" s="1"/>
  <c r="I10" i="46"/>
  <c r="G24" i="31"/>
  <c r="G5" i="31"/>
  <c r="F191" i="49"/>
  <c r="G191" i="49"/>
  <c r="H191" i="49"/>
  <c r="J191" i="49"/>
  <c r="K191" i="49"/>
  <c r="L191" i="49"/>
  <c r="M191" i="49"/>
  <c r="E153" i="49"/>
  <c r="E147" i="49"/>
  <c r="E114" i="49"/>
  <c r="I99" i="49"/>
  <c r="H87" i="49"/>
  <c r="E77" i="49"/>
  <c r="G77" i="49"/>
  <c r="H77" i="49"/>
  <c r="I77" i="49"/>
  <c r="J77" i="49"/>
  <c r="K77" i="49"/>
  <c r="C71" i="49"/>
  <c r="L71" i="49" s="1"/>
  <c r="D52" i="49"/>
  <c r="D58" i="49" s="1"/>
  <c r="C46" i="49"/>
  <c r="L46" i="49" s="1"/>
  <c r="C43" i="49"/>
  <c r="L43" i="49" s="1"/>
  <c r="F40" i="49"/>
  <c r="G40" i="49"/>
  <c r="C25" i="49"/>
  <c r="I100" i="44"/>
  <c r="I165" i="49" s="1"/>
  <c r="F100" i="44"/>
  <c r="H147" i="49"/>
  <c r="I73" i="44"/>
  <c r="I181" i="55" s="1"/>
  <c r="I58" i="44"/>
  <c r="D52" i="44"/>
  <c r="C52" i="44"/>
  <c r="H49" i="44"/>
  <c r="H148" i="55" s="1"/>
  <c r="E37" i="44"/>
  <c r="E34" i="44"/>
  <c r="I22" i="44"/>
  <c r="I19" i="44"/>
  <c r="I16" i="44"/>
  <c r="I96" i="49" s="1"/>
  <c r="N96" i="49" s="1"/>
  <c r="E10" i="44"/>
  <c r="J7" i="44"/>
  <c r="J112" i="55" s="1"/>
  <c r="C55" i="43"/>
  <c r="D45" i="43"/>
  <c r="D23" i="43"/>
  <c r="D28" i="43"/>
  <c r="D35" i="43"/>
  <c r="C112" i="55"/>
  <c r="D112" i="55"/>
  <c r="E112" i="55"/>
  <c r="H112" i="55"/>
  <c r="I112" i="55"/>
  <c r="E102" i="55"/>
  <c r="G102" i="55"/>
  <c r="H102" i="55"/>
  <c r="I102" i="55"/>
  <c r="J102" i="55"/>
  <c r="K102" i="55"/>
  <c r="F43" i="55"/>
  <c r="G25" i="39"/>
  <c r="D67" i="55"/>
  <c r="D74" i="55"/>
  <c r="H74" i="55"/>
  <c r="C70" i="40"/>
  <c r="E53" i="40"/>
  <c r="F42" i="40"/>
  <c r="F17" i="40"/>
  <c r="E17" i="40"/>
  <c r="I13" i="61"/>
  <c r="D11" i="40"/>
  <c r="C11" i="40"/>
  <c r="E41" i="39"/>
  <c r="F41" i="39"/>
  <c r="I14" i="60"/>
  <c r="I13" i="60"/>
  <c r="E11" i="39"/>
  <c r="J19" i="59"/>
  <c r="J6" i="59"/>
  <c r="I6" i="59"/>
  <c r="C37" i="38"/>
  <c r="J8" i="58"/>
  <c r="L40" i="49" l="1"/>
  <c r="H117" i="49"/>
  <c r="I141" i="49"/>
  <c r="I118" i="55"/>
  <c r="N118" i="55" s="1"/>
  <c r="I214" i="55"/>
  <c r="N16" i="44"/>
  <c r="C96" i="55"/>
  <c r="L96" i="55" s="1"/>
  <c r="C61" i="55"/>
  <c r="F49" i="55"/>
  <c r="G49" i="55"/>
  <c r="C28" i="55"/>
  <c r="C25" i="55"/>
  <c r="L25" i="55" s="1"/>
  <c r="C10" i="55"/>
  <c r="F10" i="55"/>
  <c r="G10" i="55"/>
  <c r="I10" i="55"/>
  <c r="I74" i="55" s="1"/>
  <c r="C46" i="8"/>
  <c r="C14" i="8"/>
  <c r="C5" i="8" s="1"/>
  <c r="C16" i="8"/>
  <c r="C39" i="8"/>
  <c r="C38" i="8" s="1"/>
  <c r="C43" i="8"/>
  <c r="H15" i="9"/>
  <c r="H16" i="9"/>
  <c r="H41" i="9"/>
  <c r="E9" i="9"/>
  <c r="E16" i="3"/>
  <c r="E17" i="3"/>
  <c r="E18" i="3"/>
  <c r="E19" i="3"/>
  <c r="E15" i="3"/>
  <c r="G74" i="55" l="1"/>
  <c r="L10" i="55"/>
  <c r="L49" i="55"/>
  <c r="D71" i="45"/>
  <c r="G6" i="31" s="1"/>
  <c r="E71" i="45"/>
  <c r="F71" i="45"/>
  <c r="G71" i="45"/>
  <c r="H71" i="45"/>
  <c r="I71" i="45"/>
  <c r="J71" i="45"/>
  <c r="K71" i="45"/>
  <c r="C71" i="45"/>
  <c r="C59" i="45"/>
  <c r="C56" i="45"/>
  <c r="L53" i="45"/>
  <c r="G53" i="45"/>
  <c r="F53" i="45"/>
  <c r="C38" i="45"/>
  <c r="L26" i="45"/>
  <c r="C26" i="45"/>
  <c r="F23" i="45"/>
  <c r="D23" i="45"/>
  <c r="F20" i="45"/>
  <c r="J17" i="45"/>
  <c r="F11" i="45"/>
  <c r="G11" i="45"/>
  <c r="I11" i="45"/>
  <c r="C11" i="45"/>
  <c r="E14" i="41"/>
  <c r="F14" i="41"/>
  <c r="L17" i="45"/>
  <c r="N71" i="45" l="1"/>
  <c r="C8" i="46"/>
  <c r="C10" i="46"/>
  <c r="O10" i="46" s="1"/>
  <c r="C11" i="46"/>
  <c r="D21" i="34" l="1"/>
  <c r="D20" i="34"/>
  <c r="J22" i="34"/>
  <c r="D14" i="34"/>
  <c r="D13" i="34"/>
  <c r="D12" i="34"/>
  <c r="J14" i="34"/>
  <c r="J12" i="34"/>
  <c r="C35" i="43"/>
  <c r="C38" i="43"/>
  <c r="C45" i="43"/>
  <c r="C44" i="43" s="1"/>
  <c r="D44" i="43"/>
  <c r="C9" i="46" s="1"/>
  <c r="C51" i="43"/>
  <c r="C50" i="43" s="1"/>
  <c r="D53" i="43"/>
  <c r="D22" i="34" l="1"/>
  <c r="C45" i="41" l="1"/>
  <c r="E8" i="41"/>
  <c r="E45" i="41" s="1"/>
  <c r="H11" i="41"/>
  <c r="H41" i="41" s="1"/>
  <c r="C13" i="41"/>
  <c r="H13" i="41" s="1"/>
  <c r="C38" i="41"/>
  <c r="D38" i="41"/>
  <c r="D16" i="41"/>
  <c r="E16" i="41"/>
  <c r="G16" i="41"/>
  <c r="E17" i="41"/>
  <c r="G17" i="41"/>
  <c r="H21" i="41"/>
  <c r="C22" i="41"/>
  <c r="C63" i="41" s="1"/>
  <c r="D22" i="41"/>
  <c r="H25" i="41"/>
  <c r="H59" i="41" s="1"/>
  <c r="C30" i="41"/>
  <c r="D30" i="41"/>
  <c r="F30" i="41"/>
  <c r="F31" i="41"/>
  <c r="G31" i="41"/>
  <c r="D37" i="41"/>
  <c r="E37" i="41"/>
  <c r="F37" i="41"/>
  <c r="E38" i="41"/>
  <c r="C41" i="41"/>
  <c r="D41" i="41"/>
  <c r="E41" i="41"/>
  <c r="C44" i="41"/>
  <c r="D44" i="41"/>
  <c r="E44" i="41"/>
  <c r="G44" i="41"/>
  <c r="G47" i="41" s="1"/>
  <c r="G48" i="41"/>
  <c r="G56" i="41"/>
  <c r="G66" i="41" s="1"/>
  <c r="F59" i="41"/>
  <c r="F66" i="41" s="1"/>
  <c r="D62" i="41"/>
  <c r="H62" i="41" s="1"/>
  <c r="C65" i="41"/>
  <c r="F65" i="41"/>
  <c r="G65" i="41"/>
  <c r="B16" i="8"/>
  <c r="B14" i="8"/>
  <c r="F26" i="8" l="1"/>
  <c r="E47" i="41"/>
  <c r="D65" i="41"/>
  <c r="C31" i="41"/>
  <c r="H22" i="41"/>
  <c r="C17" i="41"/>
  <c r="D47" i="41"/>
  <c r="C37" i="41"/>
  <c r="C47" i="41" s="1"/>
  <c r="C16" i="41"/>
  <c r="H14" i="41"/>
  <c r="D31" i="41"/>
  <c r="D17" i="41"/>
  <c r="D63" i="41"/>
  <c r="D66" i="41" s="1"/>
  <c r="E48" i="41"/>
  <c r="H38" i="41"/>
  <c r="B5" i="8"/>
  <c r="C66" i="41"/>
  <c r="C48" i="41"/>
  <c r="D45" i="41"/>
  <c r="K22" i="21"/>
  <c r="J22" i="21"/>
  <c r="G24" i="21"/>
  <c r="G10" i="45"/>
  <c r="B8" i="46"/>
  <c r="M11" i="56"/>
  <c r="I18" i="44"/>
  <c r="I98" i="49" s="1"/>
  <c r="I6" i="44"/>
  <c r="I21" i="44"/>
  <c r="M18" i="62"/>
  <c r="J18" i="62"/>
  <c r="I18" i="62"/>
  <c r="G18" i="62"/>
  <c r="D18" i="62"/>
  <c r="B18" i="62"/>
  <c r="P18" i="62"/>
  <c r="N18" i="62"/>
  <c r="N17" i="62"/>
  <c r="K18" i="62"/>
  <c r="K17" i="62"/>
  <c r="H18" i="62"/>
  <c r="H17" i="62"/>
  <c r="E18" i="62"/>
  <c r="E17" i="62"/>
  <c r="H37" i="41" l="1"/>
  <c r="H63" i="41"/>
  <c r="I123" i="55"/>
  <c r="D48" i="41"/>
  <c r="E9" i="44"/>
  <c r="F10" i="45"/>
  <c r="F9" i="55" s="1"/>
  <c r="F52" i="45" l="1"/>
  <c r="G52" i="45"/>
  <c r="B39" i="8"/>
  <c r="J72" i="44" s="1"/>
  <c r="I69" i="44"/>
  <c r="I70" i="44" s="1"/>
  <c r="I138" i="49" s="1"/>
  <c r="I63" i="44"/>
  <c r="I72" i="44"/>
  <c r="G41" i="9"/>
  <c r="I140" i="49" l="1"/>
  <c r="I180" i="55"/>
  <c r="F39" i="49"/>
  <c r="F48" i="55"/>
  <c r="H6" i="44"/>
  <c r="B10" i="46"/>
  <c r="F13" i="40"/>
  <c r="F16" i="40"/>
  <c r="F7" i="39"/>
  <c r="F13" i="39"/>
  <c r="D52" i="38"/>
  <c r="F16" i="38"/>
  <c r="F17" i="38" s="1"/>
  <c r="F53" i="38" s="1"/>
  <c r="F13" i="38"/>
  <c r="F7" i="38"/>
  <c r="H126" i="55" l="1"/>
  <c r="F41" i="40"/>
  <c r="D9" i="9"/>
  <c r="D55" i="9" s="1"/>
  <c r="H12" i="61" l="1"/>
  <c r="H6" i="59"/>
  <c r="H19" i="59" s="1"/>
  <c r="I8" i="58"/>
  <c r="F46" i="45" l="1"/>
  <c r="F43" i="45"/>
  <c r="B11" i="46" l="1"/>
  <c r="G15" i="9"/>
  <c r="G22" i="21" l="1"/>
  <c r="D15" i="3"/>
  <c r="D17" i="3"/>
  <c r="H25" i="21" l="1"/>
  <c r="E6" i="63" l="1"/>
  <c r="E114" i="55" l="1"/>
  <c r="E195" i="55"/>
  <c r="D192" i="55"/>
  <c r="I24" i="53"/>
  <c r="H48" i="44"/>
  <c r="J82" i="21" l="1"/>
  <c r="E25" i="21"/>
  <c r="J21" i="21"/>
  <c r="I21" i="21"/>
  <c r="F32" i="10"/>
  <c r="I99" i="44" l="1"/>
  <c r="E92" i="49"/>
  <c r="E146" i="49"/>
  <c r="H13" i="60"/>
  <c r="G16" i="9"/>
  <c r="E55" i="9"/>
  <c r="E22" i="21" l="1"/>
  <c r="G55" i="9"/>
  <c r="G56" i="9" s="1"/>
  <c r="I164" i="49"/>
  <c r="I213" i="55"/>
  <c r="H57" i="9"/>
  <c r="E10" i="39"/>
  <c r="F6" i="63" l="1"/>
  <c r="B23" i="10" l="1"/>
  <c r="H78" i="44" l="1"/>
  <c r="H51" i="44"/>
  <c r="F19" i="45"/>
  <c r="L20" i="45" s="1"/>
  <c r="H6" i="63" l="1"/>
  <c r="C24" i="43" l="1"/>
  <c r="D25" i="56"/>
  <c r="E25" i="56"/>
  <c r="F25" i="56"/>
  <c r="G25" i="56"/>
  <c r="H25" i="56"/>
  <c r="I25" i="56"/>
  <c r="K25" i="56"/>
  <c r="L25" i="56"/>
  <c r="M25" i="56"/>
  <c r="N25" i="56"/>
  <c r="D24" i="56"/>
  <c r="E24" i="56"/>
  <c r="G24" i="56"/>
  <c r="I24" i="56"/>
  <c r="J24" i="56"/>
  <c r="K24" i="56"/>
  <c r="L24" i="56"/>
  <c r="M24" i="56"/>
  <c r="N24" i="56"/>
  <c r="D21" i="56"/>
  <c r="M21" i="56"/>
  <c r="N21" i="56"/>
  <c r="D14" i="56"/>
  <c r="E14" i="56"/>
  <c r="F14" i="56"/>
  <c r="G14" i="56"/>
  <c r="H14" i="56"/>
  <c r="I14" i="56"/>
  <c r="J14" i="56"/>
  <c r="K14" i="56"/>
  <c r="L14" i="56"/>
  <c r="M14" i="56"/>
  <c r="N14" i="56"/>
  <c r="D11" i="56"/>
  <c r="F11" i="56"/>
  <c r="H11" i="56"/>
  <c r="K11" i="56"/>
  <c r="L11" i="56"/>
  <c r="N11" i="56"/>
  <c r="C11" i="56"/>
  <c r="C14" i="56"/>
  <c r="J11" i="21"/>
  <c r="J11" i="56" s="1"/>
  <c r="G11" i="21"/>
  <c r="K21" i="56"/>
  <c r="H21" i="21"/>
  <c r="H21" i="56" s="1"/>
  <c r="F21" i="21"/>
  <c r="F21" i="56" s="1"/>
  <c r="L21" i="56"/>
  <c r="J21" i="56"/>
  <c r="I21" i="56"/>
  <c r="G21" i="56"/>
  <c r="E21" i="56"/>
  <c r="G11" i="56" l="1"/>
  <c r="J25" i="56"/>
  <c r="I11" i="21"/>
  <c r="E11" i="56" s="1"/>
  <c r="E100" i="21"/>
  <c r="D82" i="21"/>
  <c r="E46" i="21"/>
  <c r="H22" i="56" s="1"/>
  <c r="D46" i="21"/>
  <c r="D22" i="56" s="1"/>
  <c r="B13" i="62"/>
  <c r="I17" i="62"/>
  <c r="C17" i="62"/>
  <c r="C18" i="62" s="1"/>
  <c r="J17" i="62" l="1"/>
  <c r="G22" i="56"/>
  <c r="I46" i="21"/>
  <c r="E22" i="56"/>
  <c r="F46" i="21"/>
  <c r="F22" i="56" s="1"/>
  <c r="J46" i="21" l="1"/>
  <c r="I22" i="56"/>
  <c r="E43" i="39"/>
  <c r="C16" i="39"/>
  <c r="J22" i="56" l="1"/>
  <c r="K46" i="21"/>
  <c r="K22" i="56" l="1"/>
  <c r="L46" i="21"/>
  <c r="H9" i="44"/>
  <c r="H10" i="44" s="1"/>
  <c r="L22" i="56" l="1"/>
  <c r="M46" i="21"/>
  <c r="E76" i="49"/>
  <c r="G76" i="49"/>
  <c r="H76" i="49"/>
  <c r="I76" i="49"/>
  <c r="J76" i="49"/>
  <c r="K76" i="49"/>
  <c r="C70" i="49"/>
  <c r="L70" i="49" s="1"/>
  <c r="N46" i="21" l="1"/>
  <c r="N22" i="56" s="1"/>
  <c r="M22" i="56"/>
  <c r="H192" i="55" l="1"/>
  <c r="C192" i="55"/>
  <c r="H73" i="55"/>
  <c r="C24" i="55"/>
  <c r="L24" i="55" s="1"/>
  <c r="D104" i="44" l="1"/>
  <c r="E104" i="44"/>
  <c r="F104" i="44"/>
  <c r="C104" i="44"/>
  <c r="N78" i="44" l="1"/>
  <c r="H146" i="49"/>
  <c r="N146" i="49" s="1"/>
  <c r="H195" i="55"/>
  <c r="N195" i="55" s="1"/>
  <c r="F52" i="38"/>
  <c r="C52" i="38"/>
  <c r="J6" i="44" l="1"/>
  <c r="B43" i="8"/>
  <c r="H24" i="56" s="1"/>
  <c r="E101" i="55"/>
  <c r="G101" i="55"/>
  <c r="H101" i="55"/>
  <c r="I101" i="55"/>
  <c r="J101" i="55"/>
  <c r="K101" i="55"/>
  <c r="C95" i="55"/>
  <c r="L95" i="55" s="1"/>
  <c r="H70" i="45"/>
  <c r="J70" i="45"/>
  <c r="C70" i="45"/>
  <c r="L25" i="45"/>
  <c r="G70" i="45"/>
  <c r="G6" i="49" l="1"/>
  <c r="G6" i="55"/>
  <c r="G48" i="55"/>
  <c r="G39" i="49"/>
  <c r="J86" i="49"/>
  <c r="J111" i="55"/>
  <c r="L52" i="45"/>
  <c r="C69" i="40"/>
  <c r="C33" i="40"/>
  <c r="K27" i="53" l="1"/>
  <c r="J27" i="53"/>
  <c r="I27" i="53"/>
  <c r="F43" i="31" l="1"/>
  <c r="E240" i="55"/>
  <c r="E165" i="55"/>
  <c r="E144" i="55"/>
  <c r="H165" i="55"/>
  <c r="M216" i="55"/>
  <c r="F255" i="55"/>
  <c r="G255" i="55"/>
  <c r="J255" i="55"/>
  <c r="K255" i="55"/>
  <c r="L255" i="55"/>
  <c r="M255" i="55"/>
  <c r="E201" i="55"/>
  <c r="F207" i="55"/>
  <c r="M114" i="55"/>
  <c r="E18" i="54" s="1"/>
  <c r="F42" i="55"/>
  <c r="C27" i="55"/>
  <c r="C60" i="55"/>
  <c r="E81" i="55"/>
  <c r="F81" i="55"/>
  <c r="G81" i="55"/>
  <c r="H81" i="55"/>
  <c r="I81" i="55"/>
  <c r="J81" i="55"/>
  <c r="K81" i="55"/>
  <c r="O17" i="62"/>
  <c r="L17" i="62"/>
  <c r="F17" i="62"/>
  <c r="D17" i="62"/>
  <c r="N28" i="62"/>
  <c r="N12" i="62" s="1"/>
  <c r="K28" i="62"/>
  <c r="K12" i="62" s="1"/>
  <c r="I28" i="62"/>
  <c r="I12" i="62" s="1"/>
  <c r="H28" i="62"/>
  <c r="H12" i="62" s="1"/>
  <c r="E28" i="62"/>
  <c r="E12" i="62" s="1"/>
  <c r="C13" i="62"/>
  <c r="N13" i="62"/>
  <c r="K13" i="62"/>
  <c r="I13" i="62"/>
  <c r="H13" i="62"/>
  <c r="E13" i="62"/>
  <c r="E113" i="49"/>
  <c r="E101" i="49"/>
  <c r="F190" i="49"/>
  <c r="G190" i="49"/>
  <c r="H190" i="49"/>
  <c r="J190" i="49"/>
  <c r="K190" i="49"/>
  <c r="L190" i="49"/>
  <c r="M190" i="49"/>
  <c r="M167" i="49"/>
  <c r="F158" i="49"/>
  <c r="N158" i="49" s="1"/>
  <c r="E152" i="49"/>
  <c r="C45" i="49"/>
  <c r="F48" i="49"/>
  <c r="L48" i="49" s="1"/>
  <c r="C24" i="49"/>
  <c r="B25" i="62" l="1"/>
  <c r="B26" i="62" s="1"/>
  <c r="L18" i="62"/>
  <c r="L28" i="62" s="1"/>
  <c r="L12" i="62" s="1"/>
  <c r="L13" i="62" s="1"/>
  <c r="M219" i="55"/>
  <c r="G17" i="62"/>
  <c r="F18" i="62"/>
  <c r="F28" i="62" s="1"/>
  <c r="F12" i="62" s="1"/>
  <c r="F13" i="62" s="1"/>
  <c r="P17" i="62"/>
  <c r="O18" i="62"/>
  <c r="O28" i="62" s="1"/>
  <c r="O12" i="62" s="1"/>
  <c r="O13" i="62" s="1"/>
  <c r="N165" i="55"/>
  <c r="E17" i="54"/>
  <c r="M17" i="62"/>
  <c r="L9" i="44"/>
  <c r="B22" i="10"/>
  <c r="B28" i="62" l="1"/>
  <c r="C25" i="62"/>
  <c r="C26" i="62" s="1"/>
  <c r="C28" i="62" s="1"/>
  <c r="L104" i="44"/>
  <c r="B28" i="46"/>
  <c r="L89" i="49" s="1"/>
  <c r="L170" i="49" s="1"/>
  <c r="I14" i="50"/>
  <c r="I10" i="45"/>
  <c r="C28" i="43"/>
  <c r="C12" i="21" s="1"/>
  <c r="C17" i="43"/>
  <c r="C16" i="43"/>
  <c r="C12" i="43"/>
  <c r="H12" i="21" l="1"/>
  <c r="F12" i="21"/>
  <c r="I10" i="50"/>
  <c r="C7" i="43"/>
  <c r="D64" i="45" s="1"/>
  <c r="L64" i="45" s="1"/>
  <c r="L120" i="55"/>
  <c r="L219" i="55" s="1"/>
  <c r="D12" i="21"/>
  <c r="G12" i="21" s="1"/>
  <c r="N12" i="21" s="1"/>
  <c r="H86" i="49"/>
  <c r="H111" i="55"/>
  <c r="H104" i="44"/>
  <c r="B23" i="46" s="1"/>
  <c r="I57" i="44"/>
  <c r="G9" i="44"/>
  <c r="L61" i="45"/>
  <c r="C97" i="44"/>
  <c r="D24" i="3"/>
  <c r="E13" i="45" s="1"/>
  <c r="E70" i="45" s="1"/>
  <c r="G104" i="44" l="1"/>
  <c r="G10" i="44"/>
  <c r="D70" i="45"/>
  <c r="D66" i="55"/>
  <c r="D51" i="49"/>
  <c r="D57" i="49" s="1"/>
  <c r="D12" i="56"/>
  <c r="C12" i="56"/>
  <c r="H147" i="55"/>
  <c r="H116" i="49"/>
  <c r="I237" i="55"/>
  <c r="I255" i="55" s="1"/>
  <c r="I175" i="49"/>
  <c r="I190" i="49" s="1"/>
  <c r="I156" i="55"/>
  <c r="I125" i="49"/>
  <c r="B46" i="8"/>
  <c r="N9" i="21" l="1"/>
  <c r="N9" i="56" s="1"/>
  <c r="E9" i="21"/>
  <c r="E9" i="56" s="1"/>
  <c r="K9" i="21"/>
  <c r="K9" i="56" s="1"/>
  <c r="I15" i="44"/>
  <c r="I117" i="55" s="1"/>
  <c r="N117" i="55" s="1"/>
  <c r="L51" i="49"/>
  <c r="M9" i="21"/>
  <c r="M9" i="56" s="1"/>
  <c r="H9" i="21"/>
  <c r="H9" i="56" s="1"/>
  <c r="C9" i="21"/>
  <c r="I9" i="21"/>
  <c r="I9" i="56" s="1"/>
  <c r="D9" i="21"/>
  <c r="D9" i="56" s="1"/>
  <c r="J9" i="21"/>
  <c r="J9" i="56" s="1"/>
  <c r="F9" i="21"/>
  <c r="F9" i="56" s="1"/>
  <c r="L9" i="21"/>
  <c r="L9" i="56" s="1"/>
  <c r="G9" i="21"/>
  <c r="G9" i="56" s="1"/>
  <c r="E12" i="43"/>
  <c r="D73" i="55"/>
  <c r="L66" i="55"/>
  <c r="F12" i="56"/>
  <c r="N12" i="56"/>
  <c r="J12" i="21"/>
  <c r="J12" i="56" s="1"/>
  <c r="G12" i="56"/>
  <c r="E52" i="40"/>
  <c r="I95" i="49" l="1"/>
  <c r="N95" i="49" s="1"/>
  <c r="I104" i="44"/>
  <c r="N15" i="44"/>
  <c r="K12" i="21"/>
  <c r="M12" i="21" s="1"/>
  <c r="H12" i="56"/>
  <c r="C9" i="56"/>
  <c r="D58" i="39"/>
  <c r="E58" i="39"/>
  <c r="F58" i="39"/>
  <c r="D55" i="39"/>
  <c r="E55" i="39"/>
  <c r="F55" i="39"/>
  <c r="E40" i="39"/>
  <c r="F40" i="39"/>
  <c r="C30" i="39"/>
  <c r="G10" i="39"/>
  <c r="D16" i="39"/>
  <c r="E16" i="39"/>
  <c r="F16" i="39"/>
  <c r="D19" i="38"/>
  <c r="E19" i="38"/>
  <c r="C19" i="38"/>
  <c r="G40" i="39" l="1"/>
  <c r="G16" i="39"/>
  <c r="K12" i="56"/>
  <c r="J104" i="44"/>
  <c r="F24" i="21"/>
  <c r="B38" i="8"/>
  <c r="G46" i="8" s="1"/>
  <c r="J87" i="49"/>
  <c r="L87" i="49"/>
  <c r="I176" i="49"/>
  <c r="I191" i="49" s="1"/>
  <c r="M12" i="56" l="1"/>
  <c r="F24" i="56"/>
  <c r="I238" i="55"/>
  <c r="I256" i="55" s="1"/>
  <c r="E7" i="46"/>
  <c r="D51" i="43"/>
  <c r="H166" i="55"/>
  <c r="G41" i="39"/>
  <c r="G11" i="39"/>
  <c r="C8" i="51"/>
  <c r="N166" i="55" l="1"/>
  <c r="C90" i="51"/>
  <c r="C15" i="51"/>
  <c r="F63" i="38"/>
  <c r="I93" i="49"/>
  <c r="K55" i="49"/>
  <c r="I115" i="55"/>
  <c r="K71" i="55"/>
  <c r="K74" i="55" s="1"/>
  <c r="J16" i="55" l="1"/>
  <c r="J74" i="55" s="1"/>
  <c r="D52" i="43"/>
  <c r="C12" i="46" s="1"/>
  <c r="F90" i="51"/>
  <c r="M168" i="49"/>
  <c r="C179" i="49"/>
  <c r="D179" i="49"/>
  <c r="C176" i="49"/>
  <c r="D176" i="49"/>
  <c r="E176" i="49"/>
  <c r="I126" i="49"/>
  <c r="C120" i="49"/>
  <c r="D120" i="49"/>
  <c r="E105" i="49"/>
  <c r="E102" i="49"/>
  <c r="E90" i="49"/>
  <c r="E87" i="49"/>
  <c r="D68" i="49"/>
  <c r="D77" i="49" s="1"/>
  <c r="F68" i="49"/>
  <c r="F65" i="49"/>
  <c r="L55" i="49"/>
  <c r="L52" i="49"/>
  <c r="I157" i="55"/>
  <c r="L71" i="55"/>
  <c r="L67" i="55"/>
  <c r="F165" i="49"/>
  <c r="L68" i="45"/>
  <c r="L65" i="45"/>
  <c r="F77" i="49" l="1"/>
  <c r="E25" i="3"/>
  <c r="C111" i="55"/>
  <c r="M217" i="55"/>
  <c r="C244" i="55"/>
  <c r="D244" i="55"/>
  <c r="C241" i="55"/>
  <c r="D241" i="55"/>
  <c r="C238" i="55"/>
  <c r="D238" i="55"/>
  <c r="E238" i="55"/>
  <c r="C235" i="55"/>
  <c r="D235" i="55"/>
  <c r="F214" i="55"/>
  <c r="C184" i="55"/>
  <c r="D184" i="55"/>
  <c r="C172" i="55"/>
  <c r="D172" i="55"/>
  <c r="H169" i="55"/>
  <c r="C151" i="55"/>
  <c r="D151" i="55"/>
  <c r="C142" i="55"/>
  <c r="D142" i="55"/>
  <c r="E142" i="55"/>
  <c r="E133" i="55"/>
  <c r="E130" i="55"/>
  <c r="C124" i="55"/>
  <c r="D124" i="55"/>
  <c r="E124" i="55"/>
  <c r="G124" i="55"/>
  <c r="H124" i="55"/>
  <c r="E121" i="55"/>
  <c r="D93" i="55"/>
  <c r="D102" i="55" s="1"/>
  <c r="F93" i="55"/>
  <c r="E58" i="55"/>
  <c r="C20" i="54"/>
  <c r="C95" i="51"/>
  <c r="C25" i="40"/>
  <c r="C87" i="55" s="1"/>
  <c r="E14" i="40"/>
  <c r="E127" i="55" s="1"/>
  <c r="E235" i="55"/>
  <c r="H235" i="55"/>
  <c r="H256" i="55" s="1"/>
  <c r="C28" i="39"/>
  <c r="C40" i="55" s="1"/>
  <c r="C25" i="39"/>
  <c r="C43" i="55" s="1"/>
  <c r="E169" i="55"/>
  <c r="E8" i="39"/>
  <c r="F8" i="39"/>
  <c r="D44" i="38"/>
  <c r="C34" i="38"/>
  <c r="C58" i="55" s="1"/>
  <c r="D190" i="55"/>
  <c r="E14" i="38"/>
  <c r="E190" i="55" s="1"/>
  <c r="F14" i="38"/>
  <c r="H190" i="55" s="1"/>
  <c r="C190" i="55"/>
  <c r="E11" i="38"/>
  <c r="E187" i="55" s="1"/>
  <c r="D11" i="38"/>
  <c r="D187" i="55" s="1"/>
  <c r="E8" i="38"/>
  <c r="E184" i="55" s="1"/>
  <c r="C10" i="49"/>
  <c r="E10" i="49"/>
  <c r="F10" i="49"/>
  <c r="H10" i="49"/>
  <c r="H58" i="49" s="1"/>
  <c r="I10" i="49"/>
  <c r="I58" i="49" s="1"/>
  <c r="D18" i="43"/>
  <c r="D17" i="43"/>
  <c r="E14" i="3"/>
  <c r="C50" i="45"/>
  <c r="C46" i="55" s="1"/>
  <c r="F47" i="45"/>
  <c r="F37" i="55" s="1"/>
  <c r="F44" i="45"/>
  <c r="F34" i="55" s="1"/>
  <c r="C41" i="45"/>
  <c r="C35" i="45"/>
  <c r="C22" i="49" s="1"/>
  <c r="C32" i="45"/>
  <c r="C19" i="55" s="1"/>
  <c r="L19" i="55" s="1"/>
  <c r="C29" i="45"/>
  <c r="J16" i="49"/>
  <c r="J58" i="49" s="1"/>
  <c r="F90" i="55"/>
  <c r="C8" i="45"/>
  <c r="C7" i="55" s="1"/>
  <c r="N97" i="44"/>
  <c r="C188" i="49"/>
  <c r="N188" i="49" s="1"/>
  <c r="F94" i="44"/>
  <c r="F162" i="49" s="1"/>
  <c r="F88" i="44"/>
  <c r="E82" i="44"/>
  <c r="E150" i="49" s="1"/>
  <c r="E76" i="44"/>
  <c r="E144" i="49" s="1"/>
  <c r="J73" i="44"/>
  <c r="E67" i="44"/>
  <c r="E135" i="49" s="1"/>
  <c r="I64" i="44"/>
  <c r="D58" i="44"/>
  <c r="D126" i="49" s="1"/>
  <c r="E58" i="44"/>
  <c r="E126" i="49" s="1"/>
  <c r="C58" i="44"/>
  <c r="C126" i="49" s="1"/>
  <c r="D55" i="44"/>
  <c r="D123" i="49" s="1"/>
  <c r="C55" i="44"/>
  <c r="C123" i="49" s="1"/>
  <c r="H52" i="44"/>
  <c r="E52" i="44"/>
  <c r="E120" i="49" s="1"/>
  <c r="E49" i="44"/>
  <c r="E117" i="49" s="1"/>
  <c r="E43" i="44"/>
  <c r="E111" i="49" s="1"/>
  <c r="E40" i="44"/>
  <c r="E108" i="49" s="1"/>
  <c r="G34" i="44"/>
  <c r="G102" i="49" s="1"/>
  <c r="D31" i="44"/>
  <c r="D185" i="49" s="1"/>
  <c r="D191" i="49" s="1"/>
  <c r="E31" i="44"/>
  <c r="E185" i="49" s="1"/>
  <c r="C31" i="44"/>
  <c r="C185" i="49" s="1"/>
  <c r="E28" i="44"/>
  <c r="E182" i="49" s="1"/>
  <c r="E25" i="44"/>
  <c r="M93" i="49"/>
  <c r="D90" i="49"/>
  <c r="C90" i="49"/>
  <c r="L11" i="45"/>
  <c r="E19" i="59"/>
  <c r="F74" i="55" l="1"/>
  <c r="F102" i="55"/>
  <c r="C191" i="49"/>
  <c r="H120" i="49"/>
  <c r="I132" i="49"/>
  <c r="C7" i="46"/>
  <c r="C5" i="46"/>
  <c r="E17" i="39"/>
  <c r="E172" i="55"/>
  <c r="D87" i="49"/>
  <c r="D171" i="49" s="1"/>
  <c r="J141" i="49"/>
  <c r="J171" i="49" s="1"/>
  <c r="F156" i="49"/>
  <c r="F171" i="49" s="1"/>
  <c r="E179" i="49"/>
  <c r="E191" i="49" s="1"/>
  <c r="C87" i="49"/>
  <c r="C171" i="49" s="1"/>
  <c r="L8" i="45"/>
  <c r="C31" i="55"/>
  <c r="D5" i="43"/>
  <c r="N82" i="44"/>
  <c r="C28" i="49"/>
  <c r="C7" i="49"/>
  <c r="C19" i="49"/>
  <c r="C99" i="55"/>
  <c r="C102" i="55" s="1"/>
  <c r="C74" i="49"/>
  <c r="C77" i="49" s="1"/>
  <c r="F34" i="49"/>
  <c r="D121" i="55"/>
  <c r="G130" i="55"/>
  <c r="E139" i="55"/>
  <c r="H151" i="55"/>
  <c r="D154" i="55"/>
  <c r="E157" i="55"/>
  <c r="C157" i="55"/>
  <c r="I163" i="55"/>
  <c r="F205" i="55"/>
  <c r="E247" i="55"/>
  <c r="D250" i="55"/>
  <c r="D256" i="55" s="1"/>
  <c r="N150" i="49"/>
  <c r="C121" i="55"/>
  <c r="E136" i="55"/>
  <c r="E148" i="55"/>
  <c r="E151" i="55"/>
  <c r="C154" i="55"/>
  <c r="D157" i="55"/>
  <c r="E175" i="55"/>
  <c r="J181" i="55"/>
  <c r="E199" i="55"/>
  <c r="N199" i="55" s="1"/>
  <c r="F211" i="55"/>
  <c r="E244" i="55"/>
  <c r="E250" i="55"/>
  <c r="C250" i="55"/>
  <c r="C253" i="55"/>
  <c r="N253" i="55" s="1"/>
  <c r="C79" i="55"/>
  <c r="D169" i="55"/>
  <c r="D17" i="39"/>
  <c r="C169" i="55"/>
  <c r="C17" i="39"/>
  <c r="H172" i="55"/>
  <c r="F17" i="39"/>
  <c r="I23" i="46" s="1"/>
  <c r="C72" i="38"/>
  <c r="C50" i="38"/>
  <c r="E50" i="38"/>
  <c r="E53" i="38"/>
  <c r="E44" i="38"/>
  <c r="F50" i="38"/>
  <c r="D50" i="38"/>
  <c r="D16" i="43"/>
  <c r="E34" i="3"/>
  <c r="E13" i="49"/>
  <c r="E58" i="49" s="1"/>
  <c r="C22" i="55"/>
  <c r="C74" i="55" s="1"/>
  <c r="L14" i="45"/>
  <c r="L71" i="45" s="1"/>
  <c r="K10" i="49"/>
  <c r="K58" i="49" s="1"/>
  <c r="F31" i="49"/>
  <c r="F58" i="49" s="1"/>
  <c r="C37" i="49"/>
  <c r="G10" i="49"/>
  <c r="G58" i="49" s="1"/>
  <c r="C256" i="55" l="1"/>
  <c r="E256" i="55"/>
  <c r="C58" i="49"/>
  <c r="C195" i="49"/>
  <c r="H90" i="49" l="1"/>
  <c r="H171" i="49" s="1"/>
  <c r="H121" i="55"/>
  <c r="I178" i="55"/>
  <c r="P28" i="62"/>
  <c r="P12" i="62" s="1"/>
  <c r="M28" i="62"/>
  <c r="M12" i="62" s="1"/>
  <c r="J28" i="62"/>
  <c r="J12" i="62" s="1"/>
  <c r="G28" i="62"/>
  <c r="G12" i="62" s="1"/>
  <c r="P13" i="62"/>
  <c r="M13" i="62"/>
  <c r="J13" i="62"/>
  <c r="G13" i="62"/>
  <c r="B95" i="51"/>
  <c r="E12" i="55"/>
  <c r="E74" i="55" s="1"/>
  <c r="F46" i="31"/>
  <c r="M92" i="49"/>
  <c r="N92" i="49" s="1"/>
  <c r="N12" i="44"/>
  <c r="E12" i="49"/>
  <c r="F34" i="31"/>
  <c r="F14" i="31"/>
  <c r="F13" i="31"/>
  <c r="F12" i="31"/>
  <c r="F11" i="31"/>
  <c r="F30" i="31"/>
  <c r="D25" i="62" l="1"/>
  <c r="F31" i="31"/>
  <c r="G90" i="49"/>
  <c r="G171" i="49" s="1"/>
  <c r="G121" i="55"/>
  <c r="F15" i="31" l="1"/>
  <c r="I13" i="50" l="1"/>
  <c r="F9" i="50" s="1"/>
  <c r="F17" i="50" s="1"/>
  <c r="I70" i="45"/>
  <c r="I87" i="49"/>
  <c r="I171" i="49" s="1"/>
  <c r="D13" i="62"/>
  <c r="D26" i="62" s="1"/>
  <c r="D28" i="62" s="1"/>
  <c r="J15" i="49"/>
  <c r="J57" i="49" s="1"/>
  <c r="C21" i="56"/>
  <c r="C22" i="56" l="1"/>
  <c r="B11" i="56"/>
  <c r="E141" i="55"/>
  <c r="D141" i="55"/>
  <c r="C141" i="55"/>
  <c r="C252" i="55"/>
  <c r="N252" i="55" s="1"/>
  <c r="E249" i="55"/>
  <c r="D249" i="55"/>
  <c r="C249" i="55"/>
  <c r="E246" i="55"/>
  <c r="E243" i="55"/>
  <c r="D243" i="55"/>
  <c r="C243" i="55"/>
  <c r="D240" i="55"/>
  <c r="C240" i="55"/>
  <c r="H234" i="55"/>
  <c r="H255" i="55" s="1"/>
  <c r="E234" i="55"/>
  <c r="D234" i="55"/>
  <c r="D255" i="55" s="1"/>
  <c r="C234" i="55"/>
  <c r="E225" i="55"/>
  <c r="D225" i="55"/>
  <c r="C225" i="55"/>
  <c r="N114" i="55"/>
  <c r="F213" i="55"/>
  <c r="F210" i="55"/>
  <c r="F204" i="55"/>
  <c r="E198" i="55"/>
  <c r="N198" i="55" s="1"/>
  <c r="E192" i="55"/>
  <c r="H189" i="55"/>
  <c r="E189" i="55"/>
  <c r="D189" i="55"/>
  <c r="C189" i="55"/>
  <c r="E186" i="55"/>
  <c r="D186" i="55"/>
  <c r="E183" i="55"/>
  <c r="D183" i="55"/>
  <c r="C183" i="55"/>
  <c r="J180" i="55"/>
  <c r="J219" i="55" s="1"/>
  <c r="I177" i="55"/>
  <c r="E174" i="55"/>
  <c r="H171" i="55"/>
  <c r="E171" i="55"/>
  <c r="D171" i="55"/>
  <c r="C171" i="55"/>
  <c r="H168" i="55"/>
  <c r="E168" i="55"/>
  <c r="D168" i="55"/>
  <c r="C168" i="55"/>
  <c r="I162" i="55"/>
  <c r="E156" i="55"/>
  <c r="D156" i="55"/>
  <c r="C156" i="55"/>
  <c r="D153" i="55"/>
  <c r="C153" i="55"/>
  <c r="H150" i="55"/>
  <c r="E150" i="55"/>
  <c r="D150" i="55"/>
  <c r="C150" i="55"/>
  <c r="E147" i="55"/>
  <c r="E138" i="55"/>
  <c r="E135" i="55"/>
  <c r="E132" i="55"/>
  <c r="G129" i="55"/>
  <c r="E129" i="55"/>
  <c r="E126" i="55"/>
  <c r="G123" i="55"/>
  <c r="H123" i="55"/>
  <c r="E123" i="55"/>
  <c r="D123" i="55"/>
  <c r="C123" i="55"/>
  <c r="H120" i="55"/>
  <c r="G120" i="55"/>
  <c r="E120" i="55"/>
  <c r="D120" i="55"/>
  <c r="C120" i="55"/>
  <c r="I111" i="55"/>
  <c r="E111" i="55"/>
  <c r="D111" i="55"/>
  <c r="C86" i="55"/>
  <c r="D78" i="55"/>
  <c r="D81" i="55" s="1"/>
  <c r="C78" i="55"/>
  <c r="F63" i="55"/>
  <c r="L63" i="55" s="1"/>
  <c r="C57" i="55"/>
  <c r="E57" i="55"/>
  <c r="E73" i="55" s="1"/>
  <c r="C45" i="55"/>
  <c r="C42" i="55"/>
  <c r="C39" i="55"/>
  <c r="F36" i="55"/>
  <c r="F33" i="55"/>
  <c r="C30" i="55"/>
  <c r="C21" i="55"/>
  <c r="L21" i="55" s="1"/>
  <c r="C18" i="55"/>
  <c r="C98" i="55"/>
  <c r="D92" i="55"/>
  <c r="D101" i="55" s="1"/>
  <c r="F89" i="55"/>
  <c r="L89" i="55" s="1"/>
  <c r="J15" i="55"/>
  <c r="J73" i="55" s="1"/>
  <c r="K9" i="55"/>
  <c r="I9" i="55"/>
  <c r="G9" i="55"/>
  <c r="C9" i="55"/>
  <c r="C6" i="55"/>
  <c r="I73" i="55" l="1"/>
  <c r="G73" i="55"/>
  <c r="E219" i="55"/>
  <c r="G219" i="55"/>
  <c r="F219" i="55"/>
  <c r="E255" i="55"/>
  <c r="F73" i="55"/>
  <c r="C73" i="55"/>
  <c r="C219" i="55"/>
  <c r="D219" i="55"/>
  <c r="I219" i="55"/>
  <c r="C101" i="55"/>
  <c r="C255" i="55"/>
  <c r="L15" i="55"/>
  <c r="L54" i="55"/>
  <c r="F164" i="49" l="1"/>
  <c r="C187" i="49"/>
  <c r="N187" i="49" s="1"/>
  <c r="F161" i="49"/>
  <c r="F155" i="49"/>
  <c r="E149" i="49"/>
  <c r="E143" i="49"/>
  <c r="J140" i="49"/>
  <c r="J170" i="49" s="1"/>
  <c r="I137" i="49"/>
  <c r="E134" i="49"/>
  <c r="I131" i="49"/>
  <c r="E125" i="49"/>
  <c r="D125" i="49"/>
  <c r="C125" i="49"/>
  <c r="D122" i="49"/>
  <c r="C122" i="49"/>
  <c r="H119" i="49"/>
  <c r="E119" i="49"/>
  <c r="D119" i="49"/>
  <c r="C119" i="49"/>
  <c r="E116" i="49"/>
  <c r="E110" i="49"/>
  <c r="E107" i="49"/>
  <c r="E104" i="49"/>
  <c r="G101" i="49"/>
  <c r="E184" i="49"/>
  <c r="D184" i="49"/>
  <c r="C184" i="49"/>
  <c r="F170" i="49" l="1"/>
  <c r="N149" i="49"/>
  <c r="E181" i="49"/>
  <c r="E178" i="49"/>
  <c r="D178" i="49"/>
  <c r="D190" i="49" s="1"/>
  <c r="C178" i="49"/>
  <c r="C190" i="49" s="1"/>
  <c r="H89" i="49"/>
  <c r="H170" i="49" s="1"/>
  <c r="G89" i="49"/>
  <c r="G170" i="49" s="1"/>
  <c r="E89" i="49"/>
  <c r="D89" i="49"/>
  <c r="C89" i="49"/>
  <c r="I86" i="49"/>
  <c r="I170" i="49" s="1"/>
  <c r="E86" i="49"/>
  <c r="D86" i="49"/>
  <c r="C86" i="49"/>
  <c r="F30" i="49"/>
  <c r="C42" i="49"/>
  <c r="D170" i="49" l="1"/>
  <c r="C170" i="49"/>
  <c r="E170" i="49"/>
  <c r="E190" i="49"/>
  <c r="C36" i="49"/>
  <c r="F33" i="49"/>
  <c r="C27" i="49"/>
  <c r="C21" i="49"/>
  <c r="C18" i="49"/>
  <c r="C73" i="49"/>
  <c r="C76" i="49" s="1"/>
  <c r="D67" i="49"/>
  <c r="D76" i="49" s="1"/>
  <c r="F64" i="49"/>
  <c r="L64" i="49" s="1"/>
  <c r="I9" i="49"/>
  <c r="I57" i="49" s="1"/>
  <c r="H9" i="49"/>
  <c r="H57" i="49" s="1"/>
  <c r="G9" i="49"/>
  <c r="G57" i="49" s="1"/>
  <c r="F9" i="49"/>
  <c r="F57" i="49" s="1"/>
  <c r="E9" i="49"/>
  <c r="E57" i="49" s="1"/>
  <c r="C9" i="49"/>
  <c r="C6" i="49"/>
  <c r="D34" i="3"/>
  <c r="C57" i="49" l="1"/>
  <c r="C80" i="49"/>
  <c r="B9" i="46"/>
  <c r="B5" i="46" l="1"/>
  <c r="L19" i="45" l="1"/>
  <c r="C18" i="43"/>
  <c r="C15" i="43"/>
  <c r="F7" i="31"/>
  <c r="B20" i="46"/>
  <c r="N81" i="44"/>
  <c r="B18" i="46"/>
  <c r="N96" i="44"/>
  <c r="F37" i="39"/>
  <c r="F43" i="39"/>
  <c r="D19" i="59"/>
  <c r="E43" i="38"/>
  <c r="F46" i="39" l="1"/>
  <c r="H20" i="59"/>
  <c r="I19" i="59"/>
  <c r="E21" i="43"/>
  <c r="C14" i="43"/>
  <c r="F19" i="38" l="1"/>
  <c r="F8" i="38"/>
  <c r="H183" i="55"/>
  <c r="F43" i="38"/>
  <c r="L51" i="55"/>
  <c r="N74" i="55"/>
  <c r="F44" i="38" l="1"/>
  <c r="H184" i="55"/>
  <c r="L39" i="49" l="1"/>
  <c r="J22" i="59"/>
  <c r="L48" i="55" l="1"/>
  <c r="G70" i="40" l="1"/>
  <c r="G69" i="40"/>
  <c r="G31" i="40"/>
  <c r="G30" i="40"/>
  <c r="G69" i="38"/>
  <c r="G68" i="38"/>
  <c r="G31" i="38"/>
  <c r="G30" i="38"/>
  <c r="G66" i="38"/>
  <c r="G65" i="38"/>
  <c r="G28" i="38"/>
  <c r="G27" i="38"/>
  <c r="L90" i="55" l="1"/>
  <c r="L64" i="55"/>
  <c r="L55" i="55"/>
  <c r="L52" i="55"/>
  <c r="D19" i="43"/>
  <c r="D15" i="43"/>
  <c r="L65" i="49"/>
  <c r="D14" i="43" l="1"/>
  <c r="D55" i="43" s="1"/>
  <c r="L62" i="45"/>
  <c r="C6" i="46" l="1"/>
  <c r="C13" i="46" s="1"/>
  <c r="E79" i="55"/>
  <c r="E82" i="55" s="1"/>
  <c r="I12" i="61"/>
  <c r="C44" i="38"/>
  <c r="G8" i="31" l="1"/>
  <c r="F93" i="51" l="1"/>
  <c r="F92" i="51"/>
  <c r="F87" i="51"/>
  <c r="E93" i="51"/>
  <c r="E92" i="51"/>
  <c r="E90" i="51"/>
  <c r="C91" i="51"/>
  <c r="C87" i="51"/>
  <c r="C83" i="51"/>
  <c r="B91" i="51"/>
  <c r="F69" i="51"/>
  <c r="E74" i="51"/>
  <c r="C71" i="51"/>
  <c r="C52" i="51"/>
  <c r="E55" i="51"/>
  <c r="E36" i="51"/>
  <c r="C33" i="51"/>
  <c r="E17" i="51"/>
  <c r="C14" i="51"/>
  <c r="G46" i="31"/>
  <c r="G44" i="31"/>
  <c r="G43" i="31"/>
  <c r="C93" i="51" l="1"/>
  <c r="F18" i="54" l="1"/>
  <c r="K23" i="46"/>
  <c r="F17" i="54" l="1"/>
  <c r="D79" i="55"/>
  <c r="L16" i="55"/>
  <c r="C21" i="54"/>
  <c r="N93" i="49"/>
  <c r="L37" i="49"/>
  <c r="E87" i="51"/>
  <c r="F86" i="51"/>
  <c r="E86" i="51" l="1"/>
  <c r="F80" i="51"/>
  <c r="F84" i="51"/>
  <c r="F21" i="54"/>
  <c r="C82" i="51"/>
  <c r="L7" i="55"/>
  <c r="L7" i="49"/>
  <c r="F31" i="51"/>
  <c r="G23" i="46"/>
  <c r="F50" i="40"/>
  <c r="G32" i="10" l="1"/>
  <c r="E32" i="10"/>
  <c r="D32" i="10"/>
  <c r="C32" i="10"/>
  <c r="B29" i="10"/>
  <c r="B25" i="10"/>
  <c r="B18" i="10"/>
  <c r="B16" i="10" s="1"/>
  <c r="B11" i="10"/>
  <c r="B10" i="10" s="1"/>
  <c r="K24" i="53"/>
  <c r="J24" i="53"/>
  <c r="J16" i="35"/>
  <c r="J8" i="35"/>
  <c r="L6" i="49"/>
  <c r="L36" i="49"/>
  <c r="B32" i="10" l="1"/>
  <c r="F16" i="31"/>
  <c r="F35" i="31"/>
  <c r="F74" i="51" l="1"/>
  <c r="B71" i="51"/>
  <c r="F55" i="51"/>
  <c r="B52" i="51"/>
  <c r="F36" i="51"/>
  <c r="B33" i="51"/>
  <c r="F17" i="51"/>
  <c r="B14" i="51"/>
  <c r="B11" i="21"/>
  <c r="B9" i="21"/>
  <c r="E69" i="51"/>
  <c r="E12" i="61"/>
  <c r="F68" i="51" s="1"/>
  <c r="F71" i="51" s="1"/>
  <c r="D12" i="61"/>
  <c r="F73" i="40"/>
  <c r="E73" i="40"/>
  <c r="F72" i="40"/>
  <c r="E72" i="40"/>
  <c r="C63" i="40"/>
  <c r="C62" i="40"/>
  <c r="D53" i="40"/>
  <c r="C53" i="40"/>
  <c r="D52" i="40"/>
  <c r="C52" i="40"/>
  <c r="E50" i="40"/>
  <c r="D50" i="40"/>
  <c r="C50" i="40"/>
  <c r="E49" i="40"/>
  <c r="D49" i="40"/>
  <c r="C49" i="40"/>
  <c r="E45" i="40"/>
  <c r="D45" i="40"/>
  <c r="C45" i="40"/>
  <c r="E44" i="40"/>
  <c r="D44" i="40"/>
  <c r="D56" i="40" s="1"/>
  <c r="C44" i="40"/>
  <c r="C56" i="40" s="1"/>
  <c r="E42" i="40"/>
  <c r="G42" i="40" s="1"/>
  <c r="E41" i="40"/>
  <c r="G41" i="40" s="1"/>
  <c r="G40" i="40"/>
  <c r="F34" i="40"/>
  <c r="E34" i="40"/>
  <c r="F33" i="40"/>
  <c r="E33" i="40"/>
  <c r="J10" i="46" s="1"/>
  <c r="G25" i="40"/>
  <c r="G24" i="40"/>
  <c r="E20" i="40"/>
  <c r="K20" i="46" s="1"/>
  <c r="D20" i="40"/>
  <c r="K19" i="46" s="1"/>
  <c r="C20" i="40"/>
  <c r="K18" i="46" s="1"/>
  <c r="E19" i="40"/>
  <c r="D19" i="40"/>
  <c r="C19" i="40"/>
  <c r="G14" i="40"/>
  <c r="G13" i="40"/>
  <c r="G11" i="40"/>
  <c r="G10" i="40"/>
  <c r="G8" i="40"/>
  <c r="G7" i="40"/>
  <c r="E13" i="60"/>
  <c r="D13" i="60"/>
  <c r="F62" i="39"/>
  <c r="E62" i="39"/>
  <c r="F61" i="39"/>
  <c r="E61" i="39"/>
  <c r="C59" i="39"/>
  <c r="G59" i="39" s="1"/>
  <c r="C58" i="39"/>
  <c r="G58" i="39" s="1"/>
  <c r="C56" i="39"/>
  <c r="C55" i="39"/>
  <c r="G55" i="39" s="1"/>
  <c r="F44" i="39"/>
  <c r="E44" i="39"/>
  <c r="D44" i="39"/>
  <c r="C44" i="39"/>
  <c r="D43" i="39"/>
  <c r="C43" i="39"/>
  <c r="F38" i="39"/>
  <c r="E38" i="39"/>
  <c r="D38" i="39"/>
  <c r="D47" i="39" s="1"/>
  <c r="C38" i="39"/>
  <c r="C47" i="39" s="1"/>
  <c r="E37" i="39"/>
  <c r="E46" i="39" s="1"/>
  <c r="D37" i="39"/>
  <c r="C37" i="39"/>
  <c r="F31" i="39"/>
  <c r="E31" i="39"/>
  <c r="C31" i="39"/>
  <c r="F30" i="39"/>
  <c r="E30" i="39"/>
  <c r="B77" i="21" s="1"/>
  <c r="G28" i="39"/>
  <c r="G27" i="39"/>
  <c r="G24" i="39"/>
  <c r="H23" i="46"/>
  <c r="B82" i="21" s="1"/>
  <c r="G14" i="39"/>
  <c r="G13" i="39"/>
  <c r="G8" i="39"/>
  <c r="G7" i="39"/>
  <c r="E30" i="51"/>
  <c r="F75" i="38"/>
  <c r="E75" i="38"/>
  <c r="C75" i="38"/>
  <c r="F74" i="38"/>
  <c r="E74" i="38"/>
  <c r="G72" i="38"/>
  <c r="C71" i="38"/>
  <c r="C74" i="38" s="1"/>
  <c r="F56" i="38"/>
  <c r="C56" i="38"/>
  <c r="G53" i="38"/>
  <c r="E52" i="38"/>
  <c r="G52" i="38" s="1"/>
  <c r="G51" i="38"/>
  <c r="G50" i="38"/>
  <c r="F49" i="38"/>
  <c r="F55" i="38" s="1"/>
  <c r="E49" i="38"/>
  <c r="D49" i="38"/>
  <c r="C49" i="38"/>
  <c r="E47" i="38"/>
  <c r="E56" i="38" s="1"/>
  <c r="D47" i="38"/>
  <c r="D56" i="38" s="1"/>
  <c r="E46" i="38"/>
  <c r="D46" i="38"/>
  <c r="G44" i="38"/>
  <c r="D43" i="38"/>
  <c r="C43" i="38"/>
  <c r="F37" i="38"/>
  <c r="D37" i="38"/>
  <c r="F36" i="38"/>
  <c r="D36" i="38"/>
  <c r="F10" i="46" s="1"/>
  <c r="C36" i="38"/>
  <c r="G34" i="38"/>
  <c r="G33" i="38"/>
  <c r="F20" i="38"/>
  <c r="E20" i="38"/>
  <c r="D20" i="38"/>
  <c r="G19" i="46" s="1"/>
  <c r="C20" i="38"/>
  <c r="G18" i="46" s="1"/>
  <c r="G17" i="38"/>
  <c r="G16" i="38"/>
  <c r="G14" i="38"/>
  <c r="G13" i="38"/>
  <c r="G11" i="38"/>
  <c r="G10" i="38"/>
  <c r="G8" i="38"/>
  <c r="G7" i="38"/>
  <c r="J11" i="58"/>
  <c r="I11" i="58"/>
  <c r="F7" i="41" s="1"/>
  <c r="E11" i="58"/>
  <c r="F11" i="51" s="1"/>
  <c r="D11" i="58"/>
  <c r="D10" i="46"/>
  <c r="E24" i="46"/>
  <c r="B22" i="52"/>
  <c r="G7" i="31"/>
  <c r="I195" i="49"/>
  <c r="G194" i="49"/>
  <c r="E194" i="49"/>
  <c r="D194" i="49"/>
  <c r="C194" i="49"/>
  <c r="N185" i="49"/>
  <c r="N184" i="49"/>
  <c r="N182" i="49"/>
  <c r="N181" i="49"/>
  <c r="N178" i="49"/>
  <c r="N176" i="49"/>
  <c r="N175" i="49"/>
  <c r="L194" i="49"/>
  <c r="J194" i="49"/>
  <c r="I194" i="49"/>
  <c r="F194" i="49"/>
  <c r="N168" i="49"/>
  <c r="N167" i="49"/>
  <c r="N165" i="49"/>
  <c r="N164" i="49"/>
  <c r="N162" i="49"/>
  <c r="N161" i="49"/>
  <c r="N155" i="49"/>
  <c r="N153" i="49"/>
  <c r="N152" i="49"/>
  <c r="N144" i="49"/>
  <c r="N143" i="49"/>
  <c r="N140" i="49"/>
  <c r="N137" i="49"/>
  <c r="N135" i="49"/>
  <c r="N134" i="49"/>
  <c r="N132" i="49"/>
  <c r="N131" i="49"/>
  <c r="N126" i="49"/>
  <c r="N125" i="49"/>
  <c r="N123" i="49"/>
  <c r="N122" i="49"/>
  <c r="N119" i="49"/>
  <c r="N117" i="49"/>
  <c r="N116" i="49"/>
  <c r="N114" i="49"/>
  <c r="N113" i="49"/>
  <c r="N111" i="49"/>
  <c r="N110" i="49"/>
  <c r="N108" i="49"/>
  <c r="N107" i="49"/>
  <c r="N105" i="49"/>
  <c r="N104" i="49"/>
  <c r="N102" i="49"/>
  <c r="N101" i="49"/>
  <c r="N89" i="49"/>
  <c r="E80" i="49"/>
  <c r="L74" i="49"/>
  <c r="L73" i="49"/>
  <c r="G80" i="49"/>
  <c r="L45" i="49"/>
  <c r="L42" i="49"/>
  <c r="L34" i="49"/>
  <c r="L33" i="49"/>
  <c r="L31" i="49"/>
  <c r="L30" i="49"/>
  <c r="L28" i="49"/>
  <c r="L27" i="49"/>
  <c r="L25" i="49"/>
  <c r="L24" i="49"/>
  <c r="L21" i="49"/>
  <c r="C81" i="49"/>
  <c r="L18" i="49"/>
  <c r="L16" i="49"/>
  <c r="L15" i="49"/>
  <c r="L12" i="49"/>
  <c r="L9" i="49"/>
  <c r="C25" i="46"/>
  <c r="G34" i="31" s="1"/>
  <c r="C18" i="46"/>
  <c r="G11" i="31" s="1"/>
  <c r="B24" i="21"/>
  <c r="B22" i="46"/>
  <c r="B22" i="21"/>
  <c r="E80" i="51"/>
  <c r="N103" i="44"/>
  <c r="N102" i="44"/>
  <c r="N100" i="44"/>
  <c r="N99" i="44"/>
  <c r="N94" i="44"/>
  <c r="N93" i="44"/>
  <c r="N91" i="44"/>
  <c r="N90" i="44"/>
  <c r="N88" i="44"/>
  <c r="N87" i="44"/>
  <c r="N85" i="44"/>
  <c r="N84" i="44"/>
  <c r="N76" i="44"/>
  <c r="N75" i="44"/>
  <c r="N73" i="44"/>
  <c r="N72" i="44"/>
  <c r="N70" i="44"/>
  <c r="N69" i="44"/>
  <c r="N67" i="44"/>
  <c r="N66" i="44"/>
  <c r="N64" i="44"/>
  <c r="N63" i="44"/>
  <c r="N58" i="44"/>
  <c r="N57" i="44"/>
  <c r="N55" i="44"/>
  <c r="N54" i="44"/>
  <c r="N52" i="44"/>
  <c r="N51" i="44"/>
  <c r="N49" i="44"/>
  <c r="N48" i="44"/>
  <c r="N46" i="44"/>
  <c r="N45" i="44"/>
  <c r="N43" i="44"/>
  <c r="N42" i="44"/>
  <c r="N40" i="44"/>
  <c r="N39" i="44"/>
  <c r="N37" i="44"/>
  <c r="N36" i="44"/>
  <c r="N34" i="44"/>
  <c r="N33" i="44"/>
  <c r="N31" i="44"/>
  <c r="N30" i="44"/>
  <c r="N28" i="44"/>
  <c r="N27" i="44"/>
  <c r="N25" i="44"/>
  <c r="N24" i="44"/>
  <c r="N22" i="44"/>
  <c r="N21" i="44"/>
  <c r="N10" i="44"/>
  <c r="N9" i="44"/>
  <c r="G41" i="31"/>
  <c r="C86" i="51"/>
  <c r="C89" i="51" s="1"/>
  <c r="C84" i="51"/>
  <c r="B84" i="51"/>
  <c r="L59" i="45"/>
  <c r="L58" i="45"/>
  <c r="L56" i="45"/>
  <c r="L55" i="45"/>
  <c r="L50" i="45"/>
  <c r="L49" i="45"/>
  <c r="L47" i="45"/>
  <c r="L46" i="45"/>
  <c r="L44" i="45"/>
  <c r="L43" i="45"/>
  <c r="L41" i="45"/>
  <c r="L40" i="45"/>
  <c r="L38" i="45"/>
  <c r="L37" i="45"/>
  <c r="L35" i="45"/>
  <c r="L34" i="45"/>
  <c r="L32" i="45"/>
  <c r="L31" i="45"/>
  <c r="L29" i="45"/>
  <c r="L28" i="45"/>
  <c r="L23" i="45"/>
  <c r="L16" i="45"/>
  <c r="L13" i="45"/>
  <c r="L10" i="45"/>
  <c r="L7" i="45"/>
  <c r="F19" i="54"/>
  <c r="E19" i="54"/>
  <c r="M261" i="55"/>
  <c r="J261" i="55"/>
  <c r="M260" i="55"/>
  <c r="N250" i="55"/>
  <c r="N249" i="55"/>
  <c r="N247" i="55"/>
  <c r="N246" i="55"/>
  <c r="N243" i="55"/>
  <c r="N240" i="55"/>
  <c r="N238" i="55"/>
  <c r="N237" i="55"/>
  <c r="N234" i="55"/>
  <c r="E228" i="55"/>
  <c r="D228" i="55"/>
  <c r="C228" i="55"/>
  <c r="G226" i="55"/>
  <c r="G229" i="55" s="1"/>
  <c r="E226" i="55"/>
  <c r="E229" i="55" s="1"/>
  <c r="D226" i="55"/>
  <c r="D229" i="55" s="1"/>
  <c r="C226" i="55"/>
  <c r="C229" i="55" s="1"/>
  <c r="L260" i="55"/>
  <c r="J260" i="55"/>
  <c r="F260" i="55"/>
  <c r="N217" i="55"/>
  <c r="N216" i="55"/>
  <c r="N214" i="55"/>
  <c r="N213" i="55"/>
  <c r="N211" i="55"/>
  <c r="N210" i="55"/>
  <c r="N209" i="55"/>
  <c r="N208" i="55"/>
  <c r="N207" i="55"/>
  <c r="N204" i="55"/>
  <c r="N202" i="55"/>
  <c r="N201" i="55"/>
  <c r="N193" i="55"/>
  <c r="N192" i="55"/>
  <c r="N189" i="55"/>
  <c r="N187" i="55"/>
  <c r="N186" i="55"/>
  <c r="N183" i="55"/>
  <c r="N180" i="55"/>
  <c r="N177" i="55"/>
  <c r="N175" i="55"/>
  <c r="N174" i="55"/>
  <c r="N171" i="55"/>
  <c r="N168" i="55"/>
  <c r="N163" i="55"/>
  <c r="N162" i="55"/>
  <c r="N157" i="55"/>
  <c r="N156" i="55"/>
  <c r="N154" i="55"/>
  <c r="N153" i="55"/>
  <c r="N150" i="55"/>
  <c r="N148" i="55"/>
  <c r="N147" i="55"/>
  <c r="N145" i="55"/>
  <c r="N144" i="55"/>
  <c r="N139" i="55"/>
  <c r="N138" i="55"/>
  <c r="N136" i="55"/>
  <c r="N135" i="55"/>
  <c r="N133" i="55"/>
  <c r="N132" i="55"/>
  <c r="N130" i="55"/>
  <c r="N129" i="55"/>
  <c r="N127" i="55"/>
  <c r="N126" i="55"/>
  <c r="N123" i="55"/>
  <c r="N120" i="55"/>
  <c r="N110" i="55"/>
  <c r="E105" i="55"/>
  <c r="B10" i="56" s="1"/>
  <c r="L99" i="55"/>
  <c r="L98" i="55"/>
  <c r="L87" i="55"/>
  <c r="L86" i="55"/>
  <c r="H82" i="55"/>
  <c r="D82" i="55"/>
  <c r="D105" i="55"/>
  <c r="C81" i="55"/>
  <c r="C82" i="55"/>
  <c r="L78" i="55"/>
  <c r="L81" i="55" s="1"/>
  <c r="L61" i="55"/>
  <c r="L60" i="55"/>
  <c r="L58" i="55"/>
  <c r="L57" i="55"/>
  <c r="L46" i="55"/>
  <c r="L45" i="55"/>
  <c r="L43" i="55"/>
  <c r="L42" i="55"/>
  <c r="L40" i="55"/>
  <c r="L39" i="55"/>
  <c r="L37" i="55"/>
  <c r="L36" i="55"/>
  <c r="L34" i="55"/>
  <c r="L33" i="55"/>
  <c r="L31" i="55"/>
  <c r="L30" i="55"/>
  <c r="L28" i="55"/>
  <c r="L27" i="55"/>
  <c r="L22" i="55"/>
  <c r="L18" i="55"/>
  <c r="L12" i="55"/>
  <c r="L9" i="55"/>
  <c r="L6" i="55"/>
  <c r="C23" i="46"/>
  <c r="G30" i="31" s="1"/>
  <c r="C22" i="46"/>
  <c r="O22" i="46" s="1"/>
  <c r="E20" i="46"/>
  <c r="I19" i="46"/>
  <c r="E19" i="46"/>
  <c r="I18" i="46"/>
  <c r="E18" i="46"/>
  <c r="N11" i="46"/>
  <c r="O11" i="46"/>
  <c r="N9" i="46"/>
  <c r="G21" i="31"/>
  <c r="N8" i="46"/>
  <c r="O8" i="46"/>
  <c r="H7" i="41" l="1"/>
  <c r="H16" i="41" s="1"/>
  <c r="E27" i="41" s="1"/>
  <c r="F16" i="41"/>
  <c r="F44" i="41"/>
  <c r="F8" i="41"/>
  <c r="F47" i="39"/>
  <c r="E47" i="39"/>
  <c r="D21" i="39"/>
  <c r="G17" i="39"/>
  <c r="D22" i="39" s="1"/>
  <c r="G19" i="38"/>
  <c r="E24" i="38" s="1"/>
  <c r="D62" i="38" s="1"/>
  <c r="D23" i="46"/>
  <c r="B46" i="21" s="1"/>
  <c r="E11" i="51"/>
  <c r="H225" i="55"/>
  <c r="D55" i="38"/>
  <c r="C62" i="39"/>
  <c r="G62" i="40"/>
  <c r="C72" i="40"/>
  <c r="G46" i="38"/>
  <c r="N190" i="49"/>
  <c r="H10" i="46"/>
  <c r="N10" i="46" s="1"/>
  <c r="B46" i="51"/>
  <c r="N255" i="55"/>
  <c r="J105" i="55"/>
  <c r="B14" i="56" s="1"/>
  <c r="H105" i="55"/>
  <c r="G105" i="55"/>
  <c r="B13" i="54" s="1"/>
  <c r="J81" i="49"/>
  <c r="I80" i="49"/>
  <c r="D46" i="39"/>
  <c r="C46" i="39"/>
  <c r="E68" i="51"/>
  <c r="E71" i="51" s="1"/>
  <c r="H13" i="61"/>
  <c r="G71" i="38"/>
  <c r="C24" i="46"/>
  <c r="G31" i="31" s="1"/>
  <c r="G35" i="31" s="1"/>
  <c r="C28" i="46"/>
  <c r="B64" i="51"/>
  <c r="B67" i="51" s="1"/>
  <c r="J6" i="46"/>
  <c r="G63" i="40"/>
  <c r="E63" i="51"/>
  <c r="J19" i="46"/>
  <c r="E56" i="40"/>
  <c r="G52" i="40"/>
  <c r="G56" i="39"/>
  <c r="E43" i="51"/>
  <c r="H18" i="46"/>
  <c r="F43" i="51"/>
  <c r="F45" i="51"/>
  <c r="B45" i="51"/>
  <c r="B48" i="51" s="1"/>
  <c r="H6" i="46"/>
  <c r="C61" i="39"/>
  <c r="I20" i="46"/>
  <c r="F44" i="51"/>
  <c r="G43" i="39"/>
  <c r="B26" i="51"/>
  <c r="B29" i="51" s="1"/>
  <c r="F6" i="46"/>
  <c r="B65" i="21"/>
  <c r="F23" i="46"/>
  <c r="E55" i="38"/>
  <c r="E26" i="51"/>
  <c r="F20" i="46"/>
  <c r="G47" i="38"/>
  <c r="G56" i="38" s="1"/>
  <c r="F6" i="51"/>
  <c r="B6" i="51"/>
  <c r="D5" i="46"/>
  <c r="F7" i="51"/>
  <c r="B7" i="51"/>
  <c r="D6" i="46"/>
  <c r="B82" i="51"/>
  <c r="F5" i="31"/>
  <c r="B87" i="51"/>
  <c r="F24" i="31"/>
  <c r="B86" i="51"/>
  <c r="F21" i="31"/>
  <c r="B81" i="51"/>
  <c r="F6" i="31"/>
  <c r="E14" i="54"/>
  <c r="B24" i="56"/>
  <c r="E9" i="54"/>
  <c r="B23" i="56"/>
  <c r="B7" i="54"/>
  <c r="B9" i="56"/>
  <c r="M81" i="55"/>
  <c r="E7" i="51"/>
  <c r="D20" i="46"/>
  <c r="E24" i="51"/>
  <c r="F18" i="46"/>
  <c r="E25" i="51"/>
  <c r="F19" i="46"/>
  <c r="B10" i="21"/>
  <c r="H194" i="49"/>
  <c r="E64" i="51"/>
  <c r="J20" i="46"/>
  <c r="E62" i="51"/>
  <c r="J18" i="46"/>
  <c r="G49" i="40"/>
  <c r="B21" i="21"/>
  <c r="B24" i="46"/>
  <c r="E12" i="51"/>
  <c r="I12" i="58"/>
  <c r="E50" i="51"/>
  <c r="H14" i="60"/>
  <c r="E44" i="51"/>
  <c r="H19" i="46"/>
  <c r="E6" i="51"/>
  <c r="D19" i="46"/>
  <c r="C260" i="55"/>
  <c r="E6" i="54" s="1"/>
  <c r="E5" i="51"/>
  <c r="D18" i="46"/>
  <c r="E45" i="51"/>
  <c r="H20" i="46"/>
  <c r="E81" i="51"/>
  <c r="B19" i="46"/>
  <c r="I105" i="55"/>
  <c r="B12" i="54" s="1"/>
  <c r="I260" i="55"/>
  <c r="E10" i="54" s="1"/>
  <c r="B10" i="54"/>
  <c r="D260" i="55"/>
  <c r="E260" i="55"/>
  <c r="E8" i="54" s="1"/>
  <c r="C105" i="55"/>
  <c r="E83" i="51"/>
  <c r="B21" i="46"/>
  <c r="N28" i="46"/>
  <c r="E82" i="51"/>
  <c r="E84" i="51"/>
  <c r="N22" i="46"/>
  <c r="B20" i="21"/>
  <c r="E88" i="51"/>
  <c r="E89" i="51" s="1"/>
  <c r="B25" i="46"/>
  <c r="N25" i="46" s="1"/>
  <c r="B23" i="21"/>
  <c r="N23" i="21" s="1"/>
  <c r="N23" i="56" s="1"/>
  <c r="C5" i="43"/>
  <c r="F12" i="51"/>
  <c r="F14" i="51" s="1"/>
  <c r="J13" i="58"/>
  <c r="E49" i="51"/>
  <c r="F49" i="51"/>
  <c r="J21" i="59"/>
  <c r="J23" i="59" s="1"/>
  <c r="F30" i="51"/>
  <c r="F33" i="51" s="1"/>
  <c r="G24" i="46"/>
  <c r="J20" i="59"/>
  <c r="E31" i="51"/>
  <c r="E33" i="51" s="1"/>
  <c r="G49" i="38"/>
  <c r="C55" i="38"/>
  <c r="G43" i="38"/>
  <c r="F82" i="51"/>
  <c r="F88" i="51"/>
  <c r="F89" i="51" s="1"/>
  <c r="F14" i="54"/>
  <c r="C81" i="51"/>
  <c r="C85" i="51" s="1"/>
  <c r="C94" i="51" s="1"/>
  <c r="E106" i="55"/>
  <c r="F62" i="51"/>
  <c r="F64" i="51"/>
  <c r="F63" i="51"/>
  <c r="B93" i="21"/>
  <c r="M93" i="21" s="1"/>
  <c r="C64" i="51"/>
  <c r="C67" i="51" s="1"/>
  <c r="F24" i="51"/>
  <c r="F25" i="51"/>
  <c r="C26" i="51"/>
  <c r="C29" i="51" s="1"/>
  <c r="G6" i="46"/>
  <c r="B57" i="21"/>
  <c r="M57" i="21" s="1"/>
  <c r="F5" i="51"/>
  <c r="C7" i="51"/>
  <c r="E6" i="46"/>
  <c r="B39" i="21"/>
  <c r="N39" i="21" s="1"/>
  <c r="C6" i="51"/>
  <c r="E5" i="46"/>
  <c r="B38" i="21"/>
  <c r="C45" i="51"/>
  <c r="C48" i="51" s="1"/>
  <c r="I6" i="46"/>
  <c r="B75" i="21"/>
  <c r="D75" i="21" s="1"/>
  <c r="G37" i="39"/>
  <c r="G81" i="49"/>
  <c r="I81" i="49"/>
  <c r="E81" i="49"/>
  <c r="C19" i="46"/>
  <c r="G12" i="31" s="1"/>
  <c r="F81" i="51"/>
  <c r="N178" i="55"/>
  <c r="C21" i="46"/>
  <c r="G14" i="31" s="1"/>
  <c r="F83" i="51"/>
  <c r="C106" i="55"/>
  <c r="D81" i="49"/>
  <c r="H81" i="49"/>
  <c r="G20" i="46"/>
  <c r="F26" i="51"/>
  <c r="G20" i="38"/>
  <c r="E25" i="38" s="1"/>
  <c r="I14" i="61"/>
  <c r="I21" i="59"/>
  <c r="D106" i="55"/>
  <c r="K81" i="49"/>
  <c r="C20" i="46"/>
  <c r="G13" i="31" s="1"/>
  <c r="O25" i="46"/>
  <c r="N151" i="55"/>
  <c r="N244" i="55"/>
  <c r="F261" i="55"/>
  <c r="N205" i="55"/>
  <c r="N156" i="49"/>
  <c r="N181" i="55"/>
  <c r="J195" i="49"/>
  <c r="G261" i="55"/>
  <c r="H195" i="49"/>
  <c r="G195" i="49"/>
  <c r="E195" i="49"/>
  <c r="G15" i="31"/>
  <c r="O9" i="46"/>
  <c r="L47" i="55"/>
  <c r="L13" i="55"/>
  <c r="L74" i="55" s="1"/>
  <c r="H106" i="55"/>
  <c r="F81" i="49"/>
  <c r="F106" i="55"/>
  <c r="L93" i="55"/>
  <c r="L102" i="55" s="1"/>
  <c r="G106" i="55"/>
  <c r="C13" i="54" s="1"/>
  <c r="N172" i="55"/>
  <c r="G38" i="39"/>
  <c r="N169" i="55"/>
  <c r="G44" i="39"/>
  <c r="E57" i="40"/>
  <c r="K29" i="46"/>
  <c r="D57" i="40"/>
  <c r="C57" i="40"/>
  <c r="N241" i="55"/>
  <c r="G53" i="40"/>
  <c r="G50" i="40"/>
  <c r="N235" i="55"/>
  <c r="L82" i="55"/>
  <c r="L79" i="55"/>
  <c r="N124" i="55"/>
  <c r="N184" i="55"/>
  <c r="N190" i="55"/>
  <c r="G28" i="31"/>
  <c r="L19" i="49"/>
  <c r="H80" i="49"/>
  <c r="J80" i="49"/>
  <c r="D80" i="49"/>
  <c r="N138" i="49"/>
  <c r="N120" i="49"/>
  <c r="D195" i="49"/>
  <c r="L13" i="49"/>
  <c r="L22" i="49"/>
  <c r="L68" i="49"/>
  <c r="L77" i="49" s="1"/>
  <c r="N141" i="49"/>
  <c r="N179" i="49"/>
  <c r="N191" i="49" s="1"/>
  <c r="L10" i="49"/>
  <c r="L58" i="49" l="1"/>
  <c r="N256" i="55"/>
  <c r="O28" i="46"/>
  <c r="L121" i="55"/>
  <c r="L90" i="49"/>
  <c r="E37" i="38"/>
  <c r="G12" i="46"/>
  <c r="H8" i="41"/>
  <c r="H17" i="41" s="1"/>
  <c r="E28" i="41" s="1"/>
  <c r="E12" i="46" s="1"/>
  <c r="F45" i="41"/>
  <c r="F17" i="41"/>
  <c r="H44" i="41"/>
  <c r="H47" i="41" s="1"/>
  <c r="F47" i="41"/>
  <c r="E30" i="41"/>
  <c r="E55" i="41"/>
  <c r="H27" i="41"/>
  <c r="H30" i="41" s="1"/>
  <c r="E10" i="21"/>
  <c r="E10" i="56" s="1"/>
  <c r="M10" i="21"/>
  <c r="M10" i="56" s="1"/>
  <c r="F52" i="51"/>
  <c r="B14" i="21"/>
  <c r="F67" i="51"/>
  <c r="F77" i="51" s="1"/>
  <c r="F75" i="21"/>
  <c r="F48" i="51"/>
  <c r="F58" i="51" s="1"/>
  <c r="G55" i="38"/>
  <c r="E14" i="51"/>
  <c r="D24" i="46"/>
  <c r="N24" i="46" s="1"/>
  <c r="G225" i="55"/>
  <c r="G228" i="55" s="1"/>
  <c r="G260" i="55" s="1"/>
  <c r="E12" i="54" s="1"/>
  <c r="H228" i="55"/>
  <c r="H141" i="55"/>
  <c r="F44" i="40"/>
  <c r="F19" i="40"/>
  <c r="J23" i="46" s="1"/>
  <c r="B100" i="21" s="1"/>
  <c r="G16" i="40"/>
  <c r="G19" i="40" s="1"/>
  <c r="D27" i="40" s="1"/>
  <c r="O24" i="46"/>
  <c r="B89" i="51"/>
  <c r="E20" i="21"/>
  <c r="G20" i="21"/>
  <c r="I20" i="21"/>
  <c r="K20" i="21"/>
  <c r="M20" i="21"/>
  <c r="D20" i="21"/>
  <c r="F20" i="21"/>
  <c r="H20" i="21"/>
  <c r="J20" i="21"/>
  <c r="L20" i="21"/>
  <c r="N20" i="21"/>
  <c r="G29" i="46"/>
  <c r="B15" i="54"/>
  <c r="B20" i="54"/>
  <c r="G93" i="21"/>
  <c r="F10" i="51"/>
  <c r="F20" i="51" s="1"/>
  <c r="E48" i="51"/>
  <c r="L93" i="21"/>
  <c r="F28" i="31"/>
  <c r="F37" i="31" s="1"/>
  <c r="F85" i="51"/>
  <c r="D23" i="21"/>
  <c r="D23" i="56" s="1"/>
  <c r="D39" i="21"/>
  <c r="E39" i="21"/>
  <c r="B10" i="51"/>
  <c r="K93" i="21"/>
  <c r="C93" i="21"/>
  <c r="H93" i="21"/>
  <c r="E67" i="51"/>
  <c r="E77" i="51" s="1"/>
  <c r="G46" i="39"/>
  <c r="I29" i="46"/>
  <c r="I75" i="21"/>
  <c r="N75" i="21"/>
  <c r="G47" i="39"/>
  <c r="G57" i="21"/>
  <c r="E29" i="51"/>
  <c r="E39" i="51" s="1"/>
  <c r="G24" i="38"/>
  <c r="G36" i="38" s="1"/>
  <c r="G62" i="38"/>
  <c r="G74" i="38" s="1"/>
  <c r="D74" i="38"/>
  <c r="E36" i="38"/>
  <c r="B35" i="51" s="1"/>
  <c r="B36" i="51" s="1"/>
  <c r="B39" i="51" s="1"/>
  <c r="J75" i="21"/>
  <c r="F29" i="51"/>
  <c r="F39" i="51" s="1"/>
  <c r="L81" i="49"/>
  <c r="I261" i="55"/>
  <c r="H29" i="46"/>
  <c r="G22" i="39"/>
  <c r="G31" i="39" s="1"/>
  <c r="O6" i="46"/>
  <c r="N5" i="46"/>
  <c r="E10" i="51"/>
  <c r="N21" i="46"/>
  <c r="F29" i="46"/>
  <c r="K10" i="21"/>
  <c r="K10" i="56" s="1"/>
  <c r="I10" i="21"/>
  <c r="I10" i="56" s="1"/>
  <c r="G10" i="21"/>
  <c r="G10" i="56" s="1"/>
  <c r="C10" i="21"/>
  <c r="N10" i="21"/>
  <c r="N10" i="56" s="1"/>
  <c r="L10" i="21"/>
  <c r="L10" i="56" s="1"/>
  <c r="J10" i="21"/>
  <c r="J10" i="56" s="1"/>
  <c r="H10" i="21"/>
  <c r="H10" i="56" s="1"/>
  <c r="F10" i="21"/>
  <c r="F10" i="56" s="1"/>
  <c r="D10" i="21"/>
  <c r="D10" i="56" s="1"/>
  <c r="O5" i="46"/>
  <c r="B8" i="54"/>
  <c r="B8" i="56"/>
  <c r="E52" i="51"/>
  <c r="N18" i="46"/>
  <c r="D52" i="39"/>
  <c r="D30" i="39"/>
  <c r="G21" i="39"/>
  <c r="G30" i="39" s="1"/>
  <c r="E7" i="54"/>
  <c r="E11" i="54" s="1"/>
  <c r="B20" i="56"/>
  <c r="N19" i="46"/>
  <c r="L23" i="21"/>
  <c r="L23" i="56" s="1"/>
  <c r="K75" i="21"/>
  <c r="G75" i="21"/>
  <c r="L75" i="21"/>
  <c r="H75" i="21"/>
  <c r="K57" i="21"/>
  <c r="C57" i="21"/>
  <c r="I93" i="21"/>
  <c r="E93" i="21"/>
  <c r="N93" i="21"/>
  <c r="J93" i="21"/>
  <c r="F93" i="21"/>
  <c r="E23" i="21"/>
  <c r="E23" i="56" s="1"/>
  <c r="D93" i="21"/>
  <c r="B6" i="46"/>
  <c r="O21" i="46"/>
  <c r="H23" i="21"/>
  <c r="H23" i="56" s="1"/>
  <c r="M23" i="21"/>
  <c r="M23" i="56" s="1"/>
  <c r="G23" i="21"/>
  <c r="G23" i="56" s="1"/>
  <c r="E85" i="51"/>
  <c r="C96" i="51"/>
  <c r="C20" i="21"/>
  <c r="J23" i="21"/>
  <c r="J23" i="56" s="1"/>
  <c r="F23" i="21"/>
  <c r="F23" i="56" s="1"/>
  <c r="I23" i="21"/>
  <c r="I23" i="56" s="1"/>
  <c r="K23" i="21"/>
  <c r="K23" i="56" s="1"/>
  <c r="C23" i="21"/>
  <c r="N20" i="46"/>
  <c r="I57" i="21"/>
  <c r="E57" i="21"/>
  <c r="C10" i="54"/>
  <c r="F12" i="54"/>
  <c r="G16" i="31"/>
  <c r="F9" i="54"/>
  <c r="J106" i="55"/>
  <c r="K106" i="55"/>
  <c r="C17" i="54" s="1"/>
  <c r="C18" i="54" s="1"/>
  <c r="C9" i="54"/>
  <c r="G9" i="31" s="1"/>
  <c r="G53" i="31" s="1"/>
  <c r="C7" i="54"/>
  <c r="I106" i="55"/>
  <c r="C8" i="54"/>
  <c r="L57" i="21"/>
  <c r="H57" i="21"/>
  <c r="N57" i="21"/>
  <c r="J57" i="21"/>
  <c r="F57" i="21"/>
  <c r="D57" i="21"/>
  <c r="L39" i="21"/>
  <c r="C39" i="21"/>
  <c r="H39" i="21"/>
  <c r="K39" i="21"/>
  <c r="M39" i="21"/>
  <c r="J39" i="21"/>
  <c r="F39" i="21"/>
  <c r="G39" i="21"/>
  <c r="I39" i="21"/>
  <c r="C10" i="51"/>
  <c r="M75" i="21"/>
  <c r="C75" i="21"/>
  <c r="E75" i="21"/>
  <c r="C261" i="55"/>
  <c r="F195" i="49"/>
  <c r="M58" i="49"/>
  <c r="N81" i="49"/>
  <c r="E261" i="55"/>
  <c r="D261" i="55"/>
  <c r="G37" i="31"/>
  <c r="N106" i="55" l="1"/>
  <c r="L171" i="49"/>
  <c r="L195" i="49" s="1"/>
  <c r="N90" i="49"/>
  <c r="L261" i="55"/>
  <c r="N121" i="55"/>
  <c r="E65" i="41"/>
  <c r="H55" i="41"/>
  <c r="H65" i="41" s="1"/>
  <c r="E56" i="41"/>
  <c r="E31" i="41"/>
  <c r="H28" i="41"/>
  <c r="H31" i="41" s="1"/>
  <c r="F48" i="41"/>
  <c r="H45" i="41"/>
  <c r="H48" i="41" s="1"/>
  <c r="J29" i="46"/>
  <c r="D29" i="46"/>
  <c r="E20" i="51"/>
  <c r="N225" i="55"/>
  <c r="N228" i="55" s="1"/>
  <c r="B21" i="56"/>
  <c r="C10" i="56"/>
  <c r="E58" i="51"/>
  <c r="E23" i="46"/>
  <c r="E13" i="46"/>
  <c r="B40" i="21"/>
  <c r="B42" i="21" s="1"/>
  <c r="B47" i="21" s="1"/>
  <c r="N47" i="21" s="1"/>
  <c r="H226" i="55"/>
  <c r="H219" i="55"/>
  <c r="H260" i="55" s="1"/>
  <c r="N141" i="55"/>
  <c r="N23" i="46"/>
  <c r="D33" i="40"/>
  <c r="D66" i="40"/>
  <c r="G27" i="40"/>
  <c r="G33" i="40" s="1"/>
  <c r="F56" i="40"/>
  <c r="G44" i="40"/>
  <c r="G56" i="40" s="1"/>
  <c r="H142" i="55"/>
  <c r="F45" i="40"/>
  <c r="F20" i="40"/>
  <c r="G17" i="40"/>
  <c r="G20" i="40" s="1"/>
  <c r="D28" i="40" s="1"/>
  <c r="F12" i="46"/>
  <c r="F13" i="46" s="1"/>
  <c r="F10" i="54"/>
  <c r="C23" i="56"/>
  <c r="B58" i="21"/>
  <c r="G13" i="46"/>
  <c r="D63" i="38"/>
  <c r="G25" i="38"/>
  <c r="G37" i="38" s="1"/>
  <c r="D31" i="39"/>
  <c r="D53" i="39"/>
  <c r="G53" i="39" s="1"/>
  <c r="G62" i="39" s="1"/>
  <c r="I12" i="46"/>
  <c r="D61" i="39"/>
  <c r="G52" i="39"/>
  <c r="G61" i="39" s="1"/>
  <c r="B54" i="51"/>
  <c r="B55" i="51" s="1"/>
  <c r="B58" i="51" s="1"/>
  <c r="H12" i="46"/>
  <c r="B76" i="21"/>
  <c r="B8" i="21"/>
  <c r="J8" i="21" s="1"/>
  <c r="J8" i="56" s="1"/>
  <c r="N6" i="46"/>
  <c r="C11" i="54"/>
  <c r="F7" i="54"/>
  <c r="F8" i="54"/>
  <c r="F6" i="54"/>
  <c r="C12" i="54"/>
  <c r="C15" i="54" s="1"/>
  <c r="L106" i="55"/>
  <c r="G18" i="31"/>
  <c r="H56" i="41" l="1"/>
  <c r="H66" i="41" s="1"/>
  <c r="E66" i="41"/>
  <c r="K40" i="21"/>
  <c r="B16" i="51"/>
  <c r="B17" i="51" s="1"/>
  <c r="B20" i="51" s="1"/>
  <c r="C40" i="21"/>
  <c r="N40" i="21"/>
  <c r="N42" i="21" s="1"/>
  <c r="G40" i="21"/>
  <c r="G42" i="21" s="1"/>
  <c r="J40" i="21"/>
  <c r="J42" i="21" s="1"/>
  <c r="D12" i="46"/>
  <c r="D13" i="46" s="1"/>
  <c r="D40" i="21"/>
  <c r="D42" i="21" s="1"/>
  <c r="M40" i="21"/>
  <c r="M42" i="21" s="1"/>
  <c r="I40" i="21"/>
  <c r="I42" i="21" s="1"/>
  <c r="E40" i="21"/>
  <c r="E42" i="21" s="1"/>
  <c r="L40" i="21"/>
  <c r="H40" i="21"/>
  <c r="H42" i="21" s="1"/>
  <c r="E29" i="46"/>
  <c r="O23" i="46"/>
  <c r="F40" i="21"/>
  <c r="H229" i="55"/>
  <c r="N226" i="55"/>
  <c r="N229" i="55" s="1"/>
  <c r="F57" i="40"/>
  <c r="G45" i="40"/>
  <c r="G57" i="40" s="1"/>
  <c r="J12" i="46"/>
  <c r="J13" i="46" s="1"/>
  <c r="B73" i="51"/>
  <c r="B74" i="51" s="1"/>
  <c r="B77" i="51" s="1"/>
  <c r="B94" i="21"/>
  <c r="N142" i="55"/>
  <c r="M18" i="44"/>
  <c r="D72" i="40"/>
  <c r="G66" i="40"/>
  <c r="G72" i="40" s="1"/>
  <c r="B22" i="56"/>
  <c r="E13" i="54"/>
  <c r="E15" i="54" s="1"/>
  <c r="B60" i="21"/>
  <c r="B64" i="21" s="1"/>
  <c r="D64" i="21" s="1"/>
  <c r="D66" i="21" s="1"/>
  <c r="K58" i="21"/>
  <c r="K60" i="21" s="1"/>
  <c r="C58" i="21"/>
  <c r="C60" i="21" s="1"/>
  <c r="F58" i="21"/>
  <c r="F60" i="21" s="1"/>
  <c r="H58" i="21"/>
  <c r="H60" i="21" s="1"/>
  <c r="N58" i="21"/>
  <c r="N60" i="21" s="1"/>
  <c r="I58" i="21"/>
  <c r="I60" i="21" s="1"/>
  <c r="G58" i="21"/>
  <c r="G60" i="21" s="1"/>
  <c r="D58" i="21"/>
  <c r="D60" i="21" s="1"/>
  <c r="D68" i="21" s="1"/>
  <c r="C54" i="51"/>
  <c r="C55" i="51" s="1"/>
  <c r="C58" i="51" s="1"/>
  <c r="J58" i="21"/>
  <c r="J60" i="21" s="1"/>
  <c r="E58" i="21"/>
  <c r="E60" i="21" s="1"/>
  <c r="M58" i="21"/>
  <c r="M60" i="21" s="1"/>
  <c r="L58" i="21"/>
  <c r="L60" i="21" s="1"/>
  <c r="D62" i="39"/>
  <c r="C35" i="51"/>
  <c r="C36" i="51" s="1"/>
  <c r="C39" i="51" s="1"/>
  <c r="D75" i="38"/>
  <c r="G63" i="38"/>
  <c r="G75" i="38" s="1"/>
  <c r="I13" i="46"/>
  <c r="F11" i="54"/>
  <c r="D47" i="21"/>
  <c r="F47" i="21"/>
  <c r="F48" i="21" s="1"/>
  <c r="H47" i="21"/>
  <c r="H48" i="21" s="1"/>
  <c r="J47" i="21"/>
  <c r="L47" i="21"/>
  <c r="C47" i="21"/>
  <c r="C48" i="21" s="1"/>
  <c r="E47" i="21"/>
  <c r="G47" i="21"/>
  <c r="G48" i="21" s="1"/>
  <c r="I47" i="21"/>
  <c r="I48" i="21" s="1"/>
  <c r="K47" i="21"/>
  <c r="M47" i="21"/>
  <c r="C16" i="51"/>
  <c r="N76" i="21"/>
  <c r="J76" i="21"/>
  <c r="F76" i="21"/>
  <c r="L76" i="21"/>
  <c r="G76" i="21"/>
  <c r="D76" i="21"/>
  <c r="E76" i="21"/>
  <c r="H76" i="21"/>
  <c r="M76" i="21"/>
  <c r="B78" i="21"/>
  <c r="B83" i="21" s="1"/>
  <c r="C76" i="21"/>
  <c r="I76" i="21"/>
  <c r="K76" i="21"/>
  <c r="H13" i="46"/>
  <c r="B48" i="21"/>
  <c r="B50" i="21" s="1"/>
  <c r="N8" i="21"/>
  <c r="N8" i="56" s="1"/>
  <c r="C8" i="21"/>
  <c r="G8" i="21"/>
  <c r="G8" i="56" s="1"/>
  <c r="K8" i="21"/>
  <c r="K8" i="56" s="1"/>
  <c r="D8" i="21"/>
  <c r="D8" i="56" s="1"/>
  <c r="H8" i="21"/>
  <c r="H8" i="56" s="1"/>
  <c r="L8" i="21"/>
  <c r="L8" i="56" s="1"/>
  <c r="E8" i="21"/>
  <c r="E8" i="56" s="1"/>
  <c r="I8" i="21"/>
  <c r="I8" i="56" s="1"/>
  <c r="M8" i="21"/>
  <c r="M8" i="56" s="1"/>
  <c r="F8" i="21"/>
  <c r="F8" i="56" s="1"/>
  <c r="C19" i="54"/>
  <c r="C22" i="54" s="1"/>
  <c r="L42" i="21" l="1"/>
  <c r="C42" i="21"/>
  <c r="C50" i="21" s="1"/>
  <c r="K42" i="21"/>
  <c r="I50" i="21"/>
  <c r="E91" i="51"/>
  <c r="E94" i="51" s="1"/>
  <c r="H50" i="21"/>
  <c r="G50" i="21"/>
  <c r="F42" i="21"/>
  <c r="F50" i="21" s="1"/>
  <c r="H261" i="55"/>
  <c r="M104" i="44"/>
  <c r="K6" i="44" s="1"/>
  <c r="M98" i="49"/>
  <c r="B26" i="56"/>
  <c r="F45" i="31"/>
  <c r="F47" i="31" s="1"/>
  <c r="N18" i="44"/>
  <c r="N94" i="21"/>
  <c r="N96" i="21" s="1"/>
  <c r="J94" i="21"/>
  <c r="J96" i="21" s="1"/>
  <c r="F94" i="21"/>
  <c r="F96" i="21" s="1"/>
  <c r="M94" i="21"/>
  <c r="M96" i="21" s="1"/>
  <c r="I94" i="21"/>
  <c r="I96" i="21" s="1"/>
  <c r="E94" i="21"/>
  <c r="E96" i="21" s="1"/>
  <c r="B96" i="21"/>
  <c r="B101" i="21" s="1"/>
  <c r="L94" i="21"/>
  <c r="L96" i="21" s="1"/>
  <c r="H94" i="21"/>
  <c r="H96" i="21" s="1"/>
  <c r="D94" i="21"/>
  <c r="D15" i="56" s="1"/>
  <c r="D16" i="56" s="1"/>
  <c r="K94" i="21"/>
  <c r="K96" i="21" s="1"/>
  <c r="G94" i="21"/>
  <c r="G96" i="21" s="1"/>
  <c r="C94" i="21"/>
  <c r="C96" i="21" s="1"/>
  <c r="D34" i="40"/>
  <c r="D67" i="40"/>
  <c r="G28" i="40"/>
  <c r="G34" i="40" s="1"/>
  <c r="K12" i="46"/>
  <c r="M64" i="21"/>
  <c r="M66" i="21" s="1"/>
  <c r="M68" i="21" s="1"/>
  <c r="K64" i="21"/>
  <c r="K66" i="21" s="1"/>
  <c r="K68" i="21" s="1"/>
  <c r="L64" i="21"/>
  <c r="L66" i="21" s="1"/>
  <c r="L68" i="21" s="1"/>
  <c r="N64" i="21"/>
  <c r="N66" i="21" s="1"/>
  <c r="N68" i="21" s="1"/>
  <c r="J64" i="21"/>
  <c r="J66" i="21" s="1"/>
  <c r="J68" i="21" s="1"/>
  <c r="E64" i="21"/>
  <c r="E66" i="21" s="1"/>
  <c r="E68" i="21" s="1"/>
  <c r="C64" i="21"/>
  <c r="C66" i="21" s="1"/>
  <c r="C68" i="21" s="1"/>
  <c r="F64" i="21"/>
  <c r="F66" i="21" s="1"/>
  <c r="F68" i="21" s="1"/>
  <c r="B66" i="21"/>
  <c r="B68" i="21" s="1"/>
  <c r="G64" i="21"/>
  <c r="G66" i="21" s="1"/>
  <c r="I64" i="21"/>
  <c r="I66" i="21" s="1"/>
  <c r="H64" i="21"/>
  <c r="H66" i="21" s="1"/>
  <c r="H68" i="21" s="1"/>
  <c r="M15" i="56"/>
  <c r="M16" i="56" s="1"/>
  <c r="C8" i="56"/>
  <c r="M78" i="21"/>
  <c r="G78" i="21"/>
  <c r="N78" i="21"/>
  <c r="K78" i="21"/>
  <c r="I78" i="21"/>
  <c r="H78" i="21"/>
  <c r="L78" i="21"/>
  <c r="J78" i="21"/>
  <c r="D78" i="21"/>
  <c r="E78" i="21"/>
  <c r="C17" i="51"/>
  <c r="C20" i="51" s="1"/>
  <c r="C51" i="21"/>
  <c r="J16" i="21"/>
  <c r="F16" i="21"/>
  <c r="D16" i="21"/>
  <c r="K16" i="21"/>
  <c r="C16" i="21"/>
  <c r="M16" i="21"/>
  <c r="H16" i="21"/>
  <c r="G16" i="21"/>
  <c r="N16" i="21"/>
  <c r="K48" i="21"/>
  <c r="K50" i="21" s="1"/>
  <c r="E48" i="21"/>
  <c r="E50" i="21" s="1"/>
  <c r="D48" i="21"/>
  <c r="J48" i="21"/>
  <c r="J50" i="21" s="1"/>
  <c r="N48" i="21"/>
  <c r="N50" i="21" s="1"/>
  <c r="M48" i="21"/>
  <c r="M50" i="21" s="1"/>
  <c r="L48" i="21"/>
  <c r="L50" i="21" s="1"/>
  <c r="C78" i="21"/>
  <c r="F78" i="21"/>
  <c r="B84" i="21"/>
  <c r="B86" i="21" s="1"/>
  <c r="N83" i="21"/>
  <c r="J83" i="21"/>
  <c r="F83" i="21"/>
  <c r="K83" i="21"/>
  <c r="G83" i="21"/>
  <c r="C83" i="21"/>
  <c r="L83" i="21"/>
  <c r="H83" i="21"/>
  <c r="D83" i="21"/>
  <c r="M83" i="21"/>
  <c r="I83" i="21"/>
  <c r="E83" i="21"/>
  <c r="K26" i="21" l="1"/>
  <c r="C26" i="21"/>
  <c r="L26" i="21"/>
  <c r="G68" i="21"/>
  <c r="J26" i="21"/>
  <c r="J26" i="56" s="1"/>
  <c r="F13" i="54"/>
  <c r="F15" i="54" s="1"/>
  <c r="N26" i="21"/>
  <c r="N26" i="56" s="1"/>
  <c r="G26" i="21"/>
  <c r="G26" i="56" s="1"/>
  <c r="K15" i="56"/>
  <c r="K16" i="56" s="1"/>
  <c r="H26" i="21"/>
  <c r="H26" i="56" s="1"/>
  <c r="F15" i="56"/>
  <c r="F16" i="56" s="1"/>
  <c r="I15" i="56"/>
  <c r="L26" i="56"/>
  <c r="B102" i="21"/>
  <c r="B104" i="21" s="1"/>
  <c r="D101" i="21"/>
  <c r="D102" i="21" s="1"/>
  <c r="F101" i="21"/>
  <c r="F102" i="21" s="1"/>
  <c r="H101" i="21"/>
  <c r="H102" i="21" s="1"/>
  <c r="H104" i="21" s="1"/>
  <c r="J101" i="21"/>
  <c r="J102" i="21" s="1"/>
  <c r="J104" i="21" s="1"/>
  <c r="L101" i="21"/>
  <c r="L102" i="21" s="1"/>
  <c r="N101" i="21"/>
  <c r="N102" i="21" s="1"/>
  <c r="N104" i="21" s="1"/>
  <c r="E101" i="21"/>
  <c r="E102" i="21" s="1"/>
  <c r="E104" i="21" s="1"/>
  <c r="G101" i="21"/>
  <c r="G102" i="21" s="1"/>
  <c r="I101" i="21"/>
  <c r="I102" i="21" s="1"/>
  <c r="I104" i="21" s="1"/>
  <c r="K101" i="21"/>
  <c r="K102" i="21" s="1"/>
  <c r="K104" i="21" s="1"/>
  <c r="M101" i="21"/>
  <c r="M102" i="21" s="1"/>
  <c r="M104" i="21" s="1"/>
  <c r="C101" i="21"/>
  <c r="C102" i="21" s="1"/>
  <c r="C104" i="21" s="1"/>
  <c r="I68" i="21"/>
  <c r="D96" i="21"/>
  <c r="D26" i="21"/>
  <c r="D26" i="56" s="1"/>
  <c r="E26" i="21"/>
  <c r="L104" i="21"/>
  <c r="G104" i="21"/>
  <c r="J15" i="56"/>
  <c r="J16" i="56" s="1"/>
  <c r="L15" i="56"/>
  <c r="G15" i="56"/>
  <c r="G16" i="56" s="1"/>
  <c r="E15" i="56"/>
  <c r="M26" i="21"/>
  <c r="M26" i="56" s="1"/>
  <c r="C27" i="21"/>
  <c r="C31" i="21" s="1"/>
  <c r="F26" i="21"/>
  <c r="F26" i="56" s="1"/>
  <c r="K13" i="46"/>
  <c r="F91" i="51"/>
  <c r="F94" i="51" s="1"/>
  <c r="G47" i="31"/>
  <c r="G67" i="40"/>
  <c r="D73" i="40"/>
  <c r="H15" i="56"/>
  <c r="H16" i="56" s="1"/>
  <c r="N15" i="56"/>
  <c r="N16" i="56" s="1"/>
  <c r="C15" i="56"/>
  <c r="C16" i="56" s="1"/>
  <c r="I26" i="21"/>
  <c r="I26" i="56" s="1"/>
  <c r="F54" i="31"/>
  <c r="C73" i="51"/>
  <c r="C74" i="51" s="1"/>
  <c r="C77" i="51" s="1"/>
  <c r="M99" i="49"/>
  <c r="M171" i="49" s="1"/>
  <c r="M170" i="49"/>
  <c r="M194" i="49" s="1"/>
  <c r="N98" i="49"/>
  <c r="B26" i="46"/>
  <c r="N26" i="46" s="1"/>
  <c r="B26" i="21"/>
  <c r="C69" i="21"/>
  <c r="D69" i="21" s="1"/>
  <c r="E69" i="21" s="1"/>
  <c r="F69" i="21" s="1"/>
  <c r="G69" i="21" s="1"/>
  <c r="N84" i="21"/>
  <c r="N86" i="21" s="1"/>
  <c r="D50" i="21"/>
  <c r="D51" i="21"/>
  <c r="E51" i="21" s="1"/>
  <c r="F51" i="21" s="1"/>
  <c r="G51" i="21" s="1"/>
  <c r="I84" i="21"/>
  <c r="I86" i="21" s="1"/>
  <c r="D84" i="21"/>
  <c r="D86" i="21" s="1"/>
  <c r="L84" i="21"/>
  <c r="L86" i="21" s="1"/>
  <c r="G84" i="21"/>
  <c r="G86" i="21" s="1"/>
  <c r="F84" i="21"/>
  <c r="F86" i="21" s="1"/>
  <c r="E84" i="21"/>
  <c r="E86" i="21" s="1"/>
  <c r="M84" i="21"/>
  <c r="M86" i="21" s="1"/>
  <c r="H84" i="21"/>
  <c r="H86" i="21" s="1"/>
  <c r="C84" i="21"/>
  <c r="K84" i="21"/>
  <c r="K86" i="21" s="1"/>
  <c r="J84" i="21"/>
  <c r="C27" i="46" l="1"/>
  <c r="F95" i="51"/>
  <c r="F96" i="51" s="1"/>
  <c r="K87" i="49"/>
  <c r="K171" i="49" s="1"/>
  <c r="N7" i="44"/>
  <c r="N105" i="44" s="1"/>
  <c r="H20" i="56"/>
  <c r="N27" i="21"/>
  <c r="N29" i="21" s="1"/>
  <c r="J27" i="21"/>
  <c r="J29" i="21" s="1"/>
  <c r="G27" i="21"/>
  <c r="G29" i="21" s="1"/>
  <c r="F104" i="21"/>
  <c r="H69" i="21"/>
  <c r="I69" i="21" s="1"/>
  <c r="J69" i="21" s="1"/>
  <c r="K69" i="21" s="1"/>
  <c r="L69" i="21" s="1"/>
  <c r="M69" i="21" s="1"/>
  <c r="N69" i="21" s="1"/>
  <c r="H27" i="56"/>
  <c r="H29" i="56" s="1"/>
  <c r="L20" i="56"/>
  <c r="L27" i="56" s="1"/>
  <c r="E20" i="56"/>
  <c r="D104" i="21"/>
  <c r="F20" i="56"/>
  <c r="F27" i="56" s="1"/>
  <c r="F29" i="56" s="1"/>
  <c r="C20" i="56"/>
  <c r="N20" i="56"/>
  <c r="N27" i="56" s="1"/>
  <c r="N29" i="56" s="1"/>
  <c r="I20" i="56"/>
  <c r="I27" i="56" s="1"/>
  <c r="M20" i="56"/>
  <c r="M27" i="56" s="1"/>
  <c r="M29" i="56" s="1"/>
  <c r="J20" i="56"/>
  <c r="J27" i="56" s="1"/>
  <c r="J29" i="56" s="1"/>
  <c r="G20" i="56"/>
  <c r="G27" i="56" s="1"/>
  <c r="G29" i="56" s="1"/>
  <c r="K20" i="56"/>
  <c r="H27" i="21"/>
  <c r="H29" i="21" s="1"/>
  <c r="M27" i="21"/>
  <c r="M29" i="21" s="1"/>
  <c r="L27" i="21"/>
  <c r="D27" i="21"/>
  <c r="D29" i="21" s="1"/>
  <c r="C26" i="56"/>
  <c r="C29" i="21"/>
  <c r="C106" i="21"/>
  <c r="D106" i="21" s="1"/>
  <c r="E106" i="21" s="1"/>
  <c r="F106" i="21" s="1"/>
  <c r="D20" i="56"/>
  <c r="D27" i="56" s="1"/>
  <c r="D29" i="56" s="1"/>
  <c r="J86" i="21"/>
  <c r="H51" i="21"/>
  <c r="I51" i="21" s="1"/>
  <c r="J51" i="21" s="1"/>
  <c r="K51" i="21" s="1"/>
  <c r="L51" i="21" s="1"/>
  <c r="M51" i="21" s="1"/>
  <c r="N51" i="21" s="1"/>
  <c r="I27" i="21"/>
  <c r="F27" i="21"/>
  <c r="F29" i="21" s="1"/>
  <c r="K26" i="56"/>
  <c r="K27" i="21"/>
  <c r="K29" i="21" s="1"/>
  <c r="E26" i="56"/>
  <c r="E27" i="21"/>
  <c r="N99" i="49"/>
  <c r="C26" i="46"/>
  <c r="P105" i="44"/>
  <c r="G54" i="31"/>
  <c r="G56" i="31" s="1"/>
  <c r="G48" i="31"/>
  <c r="C87" i="21"/>
  <c r="C86" i="21"/>
  <c r="O27" i="46" l="1"/>
  <c r="K112" i="55"/>
  <c r="K220" i="55" s="1"/>
  <c r="K195" i="49"/>
  <c r="N87" i="49"/>
  <c r="N171" i="49" s="1"/>
  <c r="G106" i="21"/>
  <c r="H106" i="21" s="1"/>
  <c r="I106" i="21" s="1"/>
  <c r="J106" i="21" s="1"/>
  <c r="K106" i="21" s="1"/>
  <c r="L106" i="21" s="1"/>
  <c r="M106" i="21" s="1"/>
  <c r="N106" i="21" s="1"/>
  <c r="D87" i="21"/>
  <c r="E87" i="21" s="1"/>
  <c r="F87" i="21" s="1"/>
  <c r="G87" i="21" s="1"/>
  <c r="H87" i="21" s="1"/>
  <c r="I87" i="21" s="1"/>
  <c r="J87" i="21" s="1"/>
  <c r="K87" i="21" s="1"/>
  <c r="L87" i="21" s="1"/>
  <c r="M87" i="21" s="1"/>
  <c r="N87" i="21" s="1"/>
  <c r="C27" i="56"/>
  <c r="C29" i="56" s="1"/>
  <c r="D31" i="21"/>
  <c r="E27" i="56"/>
  <c r="K27" i="56"/>
  <c r="K29" i="56" s="1"/>
  <c r="O26" i="46"/>
  <c r="C29" i="46"/>
  <c r="M195" i="49"/>
  <c r="O31" i="46" l="1"/>
  <c r="O29" i="46"/>
  <c r="N195" i="49"/>
  <c r="K261" i="55"/>
  <c r="F20" i="54" s="1"/>
  <c r="F22" i="54" s="1"/>
  <c r="N112" i="55"/>
  <c r="C31" i="56"/>
  <c r="D31" i="56" s="1"/>
  <c r="L22" i="45" l="1"/>
  <c r="F92" i="55"/>
  <c r="F101" i="55" s="1"/>
  <c r="F105" i="55" s="1"/>
  <c r="B9" i="54" s="1"/>
  <c r="B11" i="54" s="1"/>
  <c r="F67" i="49"/>
  <c r="L67" i="49" s="1"/>
  <c r="L76" i="49" s="1"/>
  <c r="F70" i="45"/>
  <c r="B83" i="51" s="1"/>
  <c r="B85" i="51" s="1"/>
  <c r="C26" i="43"/>
  <c r="E12" i="21" l="1"/>
  <c r="E12" i="56" s="1"/>
  <c r="E16" i="56" s="1"/>
  <c r="B7" i="46"/>
  <c r="B12" i="21" s="1"/>
  <c r="C23" i="43"/>
  <c r="F8" i="31"/>
  <c r="F9" i="31" s="1"/>
  <c r="F18" i="31" s="1"/>
  <c r="F76" i="49"/>
  <c r="F80" i="49" s="1"/>
  <c r="L92" i="55"/>
  <c r="L101" i="55" s="1"/>
  <c r="I12" i="21" l="1"/>
  <c r="L12" i="21" s="1"/>
  <c r="L12" i="56" s="1"/>
  <c r="B12" i="56"/>
  <c r="N7" i="46"/>
  <c r="E16" i="21"/>
  <c r="E31" i="56"/>
  <c r="F31" i="56" s="1"/>
  <c r="G31" i="56" s="1"/>
  <c r="H31" i="56" s="1"/>
  <c r="E29" i="56"/>
  <c r="O7" i="46" l="1"/>
  <c r="I16" i="21"/>
  <c r="I29" i="21" s="1"/>
  <c r="I12" i="56"/>
  <c r="I16" i="56" s="1"/>
  <c r="I29" i="56" s="1"/>
  <c r="E29" i="21"/>
  <c r="E31" i="21"/>
  <c r="F31" i="21" s="1"/>
  <c r="G31" i="21" s="1"/>
  <c r="H31" i="21" s="1"/>
  <c r="L16" i="21"/>
  <c r="L29" i="21" s="1"/>
  <c r="L16" i="56"/>
  <c r="L29" i="56" s="1"/>
  <c r="I31" i="21" l="1"/>
  <c r="J31" i="21" s="1"/>
  <c r="K31" i="21" s="1"/>
  <c r="L31" i="21" s="1"/>
  <c r="M31" i="21" s="1"/>
  <c r="N31" i="21" s="1"/>
  <c r="I31" i="56"/>
  <c r="J31" i="56" s="1"/>
  <c r="K31" i="56" s="1"/>
  <c r="L31" i="56" s="1"/>
  <c r="M31" i="56" s="1"/>
  <c r="N31" i="56" s="1"/>
  <c r="B90" i="51"/>
  <c r="B93" i="51" s="1"/>
  <c r="B96" i="51" s="1"/>
  <c r="L67" i="45"/>
  <c r="L70" i="45" s="1"/>
  <c r="K70" i="45"/>
  <c r="F41" i="31" s="1"/>
  <c r="K70" i="55"/>
  <c r="L70" i="55" s="1"/>
  <c r="L73" i="55" s="1"/>
  <c r="L105" i="55" s="1"/>
  <c r="K54" i="49"/>
  <c r="K57" i="49" s="1"/>
  <c r="F48" i="31" l="1"/>
  <c r="F53" i="31"/>
  <c r="F56" i="31" s="1"/>
  <c r="B12" i="46"/>
  <c r="N6" i="44"/>
  <c r="N104" i="44" s="1"/>
  <c r="M57" i="49"/>
  <c r="K80" i="49"/>
  <c r="L54" i="49"/>
  <c r="B94" i="51"/>
  <c r="K73" i="55"/>
  <c r="M73" i="55" s="1"/>
  <c r="L57" i="49" l="1"/>
  <c r="L80" i="49" s="1"/>
  <c r="N12" i="46"/>
  <c r="N13" i="46" s="1"/>
  <c r="N15" i="46" s="1"/>
  <c r="B13" i="46"/>
  <c r="B27" i="46"/>
  <c r="K104" i="44"/>
  <c r="E95" i="51" s="1"/>
  <c r="E96" i="51" s="1"/>
  <c r="K105" i="55"/>
  <c r="Q28" i="46" l="1"/>
  <c r="B29" i="46"/>
  <c r="B17" i="54"/>
  <c r="B18" i="54" s="1"/>
  <c r="B19" i="54" s="1"/>
  <c r="B22" i="54" s="1"/>
  <c r="B15" i="56"/>
  <c r="B16" i="56" s="1"/>
  <c r="B15" i="21"/>
  <c r="B16" i="21" s="1"/>
  <c r="B25" i="21"/>
  <c r="B27" i="21" s="1"/>
  <c r="K111" i="55"/>
  <c r="K86" i="49"/>
  <c r="N27" i="46"/>
  <c r="N29" i="46" s="1"/>
  <c r="N31" i="46" s="1"/>
  <c r="B29" i="21" l="1"/>
  <c r="K219" i="55"/>
  <c r="K260" i="55" s="1"/>
  <c r="E20" i="54" s="1"/>
  <c r="E22" i="54" s="1"/>
  <c r="N111" i="55"/>
  <c r="N219" i="55" s="1"/>
  <c r="N260" i="55" s="1"/>
  <c r="K170" i="49"/>
  <c r="K194" i="49" s="1"/>
  <c r="N86" i="49"/>
  <c r="N170" i="49" s="1"/>
  <c r="N194" i="49" s="1"/>
  <c r="B25" i="56" l="1"/>
  <c r="B27" i="56" s="1"/>
  <c r="B29" i="5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Bugyi Polgármesteri Hivatal</author>
  </authors>
  <commentList>
    <comment ref="B24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Bugyi Polgármesteri Hivatal: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<sst xmlns="http://schemas.openxmlformats.org/spreadsheetml/2006/main" count="2205" uniqueCount="654">
  <si>
    <t>Összesen:</t>
  </si>
  <si>
    <t>Közvilágítás</t>
  </si>
  <si>
    <t>Önk. Ig. tevékenysége</t>
  </si>
  <si>
    <t>Könyvtár</t>
  </si>
  <si>
    <t>Hitel</t>
  </si>
  <si>
    <t>FELÚJÍTÁS</t>
  </si>
  <si>
    <t>Felújítási és felhalmozási kiadások együtt:</t>
  </si>
  <si>
    <t>Össszesen</t>
  </si>
  <si>
    <t>Működési célú bevételek összesen</t>
  </si>
  <si>
    <t>Személyi juttatások</t>
  </si>
  <si>
    <t>Működési célú kiadások összesen</t>
  </si>
  <si>
    <t>Önkormányzatok felhalmozási és tőke jell. bevételei</t>
  </si>
  <si>
    <t>Felhalmozási ÁFA visszatérülések</t>
  </si>
  <si>
    <t>Felhalmozási bevételek összesen</t>
  </si>
  <si>
    <t>Felhalmozási kiadások (ÁFA-val együtt)</t>
  </si>
  <si>
    <t>Felújítások kiadások (ÁFA-val együtt)</t>
  </si>
  <si>
    <t>Felhalmozási kiadások összesen</t>
  </si>
  <si>
    <t>Önkormányzat bevételei összesen</t>
  </si>
  <si>
    <t>Önkormányzat kiadásai összesen</t>
  </si>
  <si>
    <t>Bevételek összesen:</t>
  </si>
  <si>
    <t>Dologi kiadások</t>
  </si>
  <si>
    <t>Össz.</t>
  </si>
  <si>
    <t xml:space="preserve">                    Felújítási és felhalmozási  kiadások részletezése</t>
  </si>
  <si>
    <t>főfogl.</t>
  </si>
  <si>
    <t>részfogl.</t>
  </si>
  <si>
    <t xml:space="preserve">                  </t>
  </si>
  <si>
    <t>Önk. ktgv-i támogatása és átengedett szja</t>
  </si>
  <si>
    <t>Önkormányzatok sajátos felhalmozási és tőke bevételei</t>
  </si>
  <si>
    <t xml:space="preserve">  Gyermekek táboroztatásának tám.</t>
  </si>
  <si>
    <t xml:space="preserve">  Gyáli Kistérség tagdíj</t>
  </si>
  <si>
    <t>Polgármesteri Hivatal</t>
  </si>
  <si>
    <t xml:space="preserve">Felj. célú támogatás </t>
  </si>
  <si>
    <t>Megnevezés:</t>
  </si>
  <si>
    <t xml:space="preserve">Január </t>
  </si>
  <si>
    <t>Február</t>
  </si>
  <si>
    <t>Március</t>
  </si>
  <si>
    <t>Április</t>
  </si>
  <si>
    <t xml:space="preserve">Május </t>
  </si>
  <si>
    <t>Június</t>
  </si>
  <si>
    <t>Július</t>
  </si>
  <si>
    <t>Bevételek</t>
  </si>
  <si>
    <t>Kiadások:</t>
  </si>
  <si>
    <t>Müködési kiadások</t>
  </si>
  <si>
    <t>Felújitási kiadások</t>
  </si>
  <si>
    <t>Tartalék</t>
  </si>
  <si>
    <t>Kiadások összesen :</t>
  </si>
  <si>
    <t>Egyenleg</t>
  </si>
  <si>
    <t>Aug.</t>
  </si>
  <si>
    <t>Szept.</t>
  </si>
  <si>
    <t>Okt.</t>
  </si>
  <si>
    <t>Nov.</t>
  </si>
  <si>
    <t>Dec.</t>
  </si>
  <si>
    <t>adatok ezer Ft-ban</t>
  </si>
  <si>
    <t>Összesen</t>
  </si>
  <si>
    <t xml:space="preserve">Önkormányzat költségvetési támogatása </t>
  </si>
  <si>
    <t xml:space="preserve">Város és községgazd. </t>
  </si>
  <si>
    <t>Napköziotthonos Óvoda</t>
  </si>
  <si>
    <t>Személyi 
juttatások</t>
  </si>
  <si>
    <t>Fin. 
Kiadás</t>
  </si>
  <si>
    <t xml:space="preserve">    - igazgatás</t>
  </si>
  <si>
    <t xml:space="preserve">    </t>
  </si>
  <si>
    <t xml:space="preserve">Munkatv. </t>
  </si>
  <si>
    <t>Közalkalmazottak</t>
  </si>
  <si>
    <t xml:space="preserve">   - közterület-felügyelő</t>
  </si>
  <si>
    <t xml:space="preserve">    - óvodai nevelés</t>
  </si>
  <si>
    <t xml:space="preserve">   - művelődési ház</t>
  </si>
  <si>
    <t xml:space="preserve">   - könyvtár</t>
  </si>
  <si>
    <t xml:space="preserve">    - település üzemeltetés</t>
  </si>
  <si>
    <t xml:space="preserve">   - mezei őrszolgálat</t>
  </si>
  <si>
    <t xml:space="preserve">Dologi kiadások </t>
  </si>
  <si>
    <t>1+....4 (5)</t>
  </si>
  <si>
    <t>A felhalmozási célú hiány finanszírozása külső forrással(hitel)</t>
  </si>
  <si>
    <t>6+..11(12)</t>
  </si>
  <si>
    <t>Értékesített tárgyi eszközök, imm.j. utáni áfa befiz</t>
  </si>
  <si>
    <t>Gyöngyölített</t>
  </si>
  <si>
    <t>BEVÉTELEK</t>
  </si>
  <si>
    <t>KIADÁSOK</t>
  </si>
  <si>
    <t>Eu-s támogatás</t>
  </si>
  <si>
    <t>Önkormányzati saját forrás</t>
  </si>
  <si>
    <t xml:space="preserve">Iparűzési adó </t>
  </si>
  <si>
    <t>mentesség összege</t>
  </si>
  <si>
    <t>kedvezmény összege</t>
  </si>
  <si>
    <t xml:space="preserve">Gépráműadó </t>
  </si>
  <si>
    <t xml:space="preserve">2. Helyi adónál, gépjárműadónál biztosított kedvezmény, mentesség összege </t>
  </si>
  <si>
    <t>Finanszírozási bevételek összesen:</t>
  </si>
  <si>
    <t xml:space="preserve">Finanszírozási kiadások összesen: </t>
  </si>
  <si>
    <t>Értékesített tárgyi eszközök és imm. Javak Áfa-ja</t>
  </si>
  <si>
    <t>Hosszú lejáratú hitel</t>
  </si>
  <si>
    <t>13+..19 (20)</t>
  </si>
  <si>
    <t>5. Lakosság részére lakásépítéshez, lakásfelújításhoz nyújtott kölcsönök elengedésének összege                                                                                                            0</t>
  </si>
  <si>
    <t>Munkáltatói
járulékok</t>
  </si>
  <si>
    <t>Dologi 
kiadások</t>
  </si>
  <si>
    <t>Költségvetési kiadás összesen</t>
  </si>
  <si>
    <t>Intézményi
működési 
bevétel</t>
  </si>
  <si>
    <t>Költségvetési bevétel összesen</t>
  </si>
  <si>
    <t>Átvett 
pénzeszköz</t>
  </si>
  <si>
    <t>Közművelődési Intézmény</t>
  </si>
  <si>
    <t>Központi költségvetésből származó egyéb tám.</t>
  </si>
  <si>
    <t>EU forrásból megvalósuló porjekt bevétele</t>
  </si>
  <si>
    <t>Iparűzési adó</t>
  </si>
  <si>
    <t>Felhalmozási bevételek</t>
  </si>
  <si>
    <t>BEVÉTELEK ÖSSZESEN</t>
  </si>
  <si>
    <t>Támogatások/Átvett pénzeszközök</t>
  </si>
  <si>
    <t>Mezei őrszolgálat működéséhez</t>
  </si>
  <si>
    <t>Dologi
kiadások</t>
  </si>
  <si>
    <t>Ált.
tartalék</t>
  </si>
  <si>
    <t>BERUHÁZÁS</t>
  </si>
  <si>
    <t>Finanszírozási műveletek</t>
  </si>
  <si>
    <t>Háziorvosi ügyeleti ellátás</t>
  </si>
  <si>
    <t>Ifjúságegészségügyi ellátás</t>
  </si>
  <si>
    <t>Család és nővédelmi gondozás</t>
  </si>
  <si>
    <t>Gyermekjóléti szolg</t>
  </si>
  <si>
    <t>Bugyi Nagyközség Önkormányzata</t>
  </si>
  <si>
    <t>Településfejlesztési-ellátási és üzemeltetési szerv</t>
  </si>
  <si>
    <t>Köztisztv.</t>
  </si>
  <si>
    <t>Közcélú
 fogl</t>
  </si>
  <si>
    <t xml:space="preserve">Bevételek </t>
  </si>
  <si>
    <t>Önkormányzat</t>
  </si>
  <si>
    <t>TEFÜSZ</t>
  </si>
  <si>
    <t>Polgármest.
Hivatal</t>
  </si>
  <si>
    <t>Napköziotthonos 
Óvoda</t>
  </si>
  <si>
    <t>Kiadások</t>
  </si>
  <si>
    <t>Beruházások</t>
  </si>
  <si>
    <t>Felújítások</t>
  </si>
  <si>
    <t>Finanszírozási kiadások</t>
  </si>
  <si>
    <t>Általános Tartalék</t>
  </si>
  <si>
    <t>Céltartalék</t>
  </si>
  <si>
    <t xml:space="preserve">  Értetek Veletek Alapítvány étkezési költség támogatása</t>
  </si>
  <si>
    <t>Közterület rendjének fenntartása</t>
  </si>
  <si>
    <t>Normatív
hozzájárulások</t>
  </si>
  <si>
    <t>EU 
támogatás</t>
  </si>
  <si>
    <t>Fin. 
Bevételek</t>
  </si>
  <si>
    <t>talajterhelési díj</t>
  </si>
  <si>
    <t>Civil szervezetek működési támogatása</t>
  </si>
  <si>
    <t xml:space="preserve">Bugyi Nagyközség Önkormányzata </t>
  </si>
  <si>
    <t>Településellátási- fejlesztési és üzemeltetési szerv</t>
  </si>
  <si>
    <t>Működési célú költségvetési többlet</t>
  </si>
  <si>
    <t xml:space="preserve">Felhalmozási bevételi többlet igénybev. a műk-i hiány fin-ra: </t>
  </si>
  <si>
    <t xml:space="preserve">    - védőnői szolgálat</t>
  </si>
  <si>
    <t>Bevételek összesen</t>
  </si>
  <si>
    <t>Kiadások összesen</t>
  </si>
  <si>
    <t xml:space="preserve">                                                                            </t>
  </si>
  <si>
    <t>Cél
tartalék</t>
  </si>
  <si>
    <t>Lakossági járdaépítések önkormányzati támogatással</t>
  </si>
  <si>
    <t>Bugyi Nagyközség Önkormányzatának az európai uniós forrásból finanszírozott támogatással megvalósuló projektek bevételei és kiadásai (adatok ezer forintban)</t>
  </si>
  <si>
    <t>Kivitelezési költség</t>
  </si>
  <si>
    <t xml:space="preserve">   </t>
  </si>
  <si>
    <t>III. Finanszírozási célú bevételek és kiadások</t>
  </si>
  <si>
    <t>II. Felhalmozási célú bevételek és kiadások</t>
  </si>
  <si>
    <t>I.  Működési bevételek és kiadások</t>
  </si>
  <si>
    <t xml:space="preserve">                                                                                      </t>
  </si>
  <si>
    <t xml:space="preserve">                </t>
  </si>
  <si>
    <t>Beruházások, felújítások FAD befizetés</t>
  </si>
  <si>
    <t>21+.…25(26)</t>
  </si>
  <si>
    <t>A költségvetési hiány fin.külső forrással (folyószámlahitel)</t>
  </si>
  <si>
    <t xml:space="preserve">  -óvodapedagógusok és a nevelő munkát segítők bértámog.</t>
  </si>
  <si>
    <t xml:space="preserve">  -óvoda működési támogatás</t>
  </si>
  <si>
    <t xml:space="preserve">  -ingyenes és kedvezményes gyermekétkeztetés</t>
  </si>
  <si>
    <t xml:space="preserve">  -könyvtári, közművelődési támogatás</t>
  </si>
  <si>
    <t>Szenyvízgyűjtése és kezelése</t>
  </si>
  <si>
    <t>TB Alaptól védőnők és iskola eü-i feladatokra, háziorvosi szolg</t>
  </si>
  <si>
    <t>Család és nővédelmi eü-i gondozás</t>
  </si>
  <si>
    <t>Szennyvízelvezetés és kezelés</t>
  </si>
  <si>
    <t>Zöldterület kezelés(terek)</t>
  </si>
  <si>
    <t xml:space="preserve">Kivitelezési költség áfa </t>
  </si>
  <si>
    <t>1. Ellátottak térítési díjának, kártérítésének méltányossági alapon történő elengedésének összege</t>
  </si>
  <si>
    <t>3. Helyiségek, eszközök hasznosításából származó bev-ből nyújtot kedv., mentesség összege</t>
  </si>
  <si>
    <t>4. Egyéb nyújtott kedvezmény vagy kölcsön elengedésének összege</t>
  </si>
  <si>
    <t>Bessenyei Gy. Művelődési Ház és Könyvtár "IKSZT"</t>
  </si>
  <si>
    <t>Kezességvállalásból fennálló kötelezettség</t>
  </si>
  <si>
    <t>Felhalmozási célú költségvetési hiány</t>
  </si>
  <si>
    <t>Támogatásértékű felhalmozási célú pénzeszköz átvétel</t>
  </si>
  <si>
    <t>Támogatásért. felhalmozási célú pénzeszközátadás</t>
  </si>
  <si>
    <t>Közhalatmi bevételek</t>
  </si>
  <si>
    <t>Kötelező feladatok</t>
  </si>
  <si>
    <t>Kötelező feldatok</t>
  </si>
  <si>
    <t>Önként vállalt feladat</t>
  </si>
  <si>
    <t>Önként vállalt feladatok</t>
  </si>
  <si>
    <t>Államigazgatási feladat</t>
  </si>
  <si>
    <t>Közhatalmi bevételek</t>
  </si>
  <si>
    <t>*A fejlesztési célokhoz a Stabilitási tv. 3. § (1) bekezdése szerinti adósságot keletkeztető ügylet megkötése válhat szükségessé</t>
  </si>
  <si>
    <t>Az önkormányzat saját bevételének minősül</t>
  </si>
  <si>
    <t>II. A Stabilitási törvény 45. § (1) bekezdése alapján kiadott felhatalmazás szerint a 353/2011. (XII.30.) korm rendelet szerinti 
saját bevétel</t>
  </si>
  <si>
    <t xml:space="preserve">                           az osztalék, a koncessziós díj és a hozambevétel,</t>
  </si>
  <si>
    <t xml:space="preserve">                           bírság-, pótlék- és díjbevétel, valamint</t>
  </si>
  <si>
    <t xml:space="preserve">                          a kezességvállalással kapcsolatos megtérülés.</t>
  </si>
  <si>
    <t xml:space="preserve">                           az önk. vagyon és az önk.megillető vagyoni ér. jog ért.és haszn.származó bevétel,</t>
  </si>
  <si>
    <t xml:space="preserve">                           a tárgyi eszköz és az immat.jószág, részvény, részes. vállalat ért. vagy privatizáció bev.,</t>
  </si>
  <si>
    <t>MVH Területalapú támogatás</t>
  </si>
  <si>
    <t>Bugyi Nagyközség Polgármesteri Hivatala</t>
  </si>
  <si>
    <t>Működési bevételek összesen</t>
  </si>
  <si>
    <t>Irányító szervtől kapott támgoatás</t>
  </si>
  <si>
    <t>Költségvetési bevételek összesen</t>
  </si>
  <si>
    <t>Működési kiadások összesen</t>
  </si>
  <si>
    <t>Felújítások áfával</t>
  </si>
  <si>
    <t>Felhalmozási kiadások összesen:</t>
  </si>
  <si>
    <t>Lekötött betét feloldása</t>
  </si>
  <si>
    <t>Bevételek mindösszesen</t>
  </si>
  <si>
    <t>Kiadások mindösszesen.</t>
  </si>
  <si>
    <t>Bugyi Nagyk. Önk. Településfejl.-ellátási és üz. Szerv</t>
  </si>
  <si>
    <t>Költségvetési kiadások összesen.</t>
  </si>
  <si>
    <t>Az önkormányzat saját bevételének 50 %-a</t>
  </si>
  <si>
    <t>Költségvetési szerv</t>
  </si>
  <si>
    <t>Közfoglalkoztatottak száma</t>
  </si>
  <si>
    <t xml:space="preserve">  Bugyelláris Egyesület Tájház működtetésének támogatása</t>
  </si>
  <si>
    <t>Önkormányzatok működési támogatása</t>
  </si>
  <si>
    <t>Állami támogatások</t>
  </si>
  <si>
    <t>Egyes köznevelési feladatok támgoatása</t>
  </si>
  <si>
    <t>Szociális, gyermekétkeztetési feladatok támogatása</t>
  </si>
  <si>
    <t>Kulturális feladatok támogatása</t>
  </si>
  <si>
    <t>Korm. 
funkció</t>
  </si>
  <si>
    <t>Kormányzati funkció 
megnevezése</t>
  </si>
  <si>
    <t>Működési 
bevételek</t>
  </si>
  <si>
    <t>Közhatalmi
bevételek</t>
  </si>
  <si>
    <t>Felhalmozási
bevételek</t>
  </si>
  <si>
    <t>Működésicélra átvett
 pénzeszk</t>
  </si>
  <si>
    <t>Felhalmozási célra átvett pénzeszközök</t>
  </si>
  <si>
    <t>Az önkormányzat általános működésének és ágazati feladatainak támogatása</t>
  </si>
  <si>
    <t xml:space="preserve">  -önkormányzat működésének támogatása</t>
  </si>
  <si>
    <t>Korm. 
Funkció</t>
  </si>
  <si>
    <t>Kormányzati funkció megnevezése</t>
  </si>
  <si>
    <t>Munkaadókat terhelő járulékok és Szoc hj. Adó</t>
  </si>
  <si>
    <t>Ellátottak pénzbeli juttatásai</t>
  </si>
  <si>
    <t>Egyéb működési célú kiadások</t>
  </si>
  <si>
    <t>Korm.
Funkció</t>
  </si>
  <si>
    <t>011130</t>
  </si>
  <si>
    <t>031030</t>
  </si>
  <si>
    <t>091110</t>
  </si>
  <si>
    <t>Óvodai nevelés, ellátás szakmai feladatai</t>
  </si>
  <si>
    <t>091140</t>
  </si>
  <si>
    <t>Óvodai nevelés, ellátás működési feladatai</t>
  </si>
  <si>
    <t>091120</t>
  </si>
  <si>
    <t>Sajátos nevelési igényű gyerekek óvodai nevelés</t>
  </si>
  <si>
    <t>082044</t>
  </si>
  <si>
    <t>082091</t>
  </si>
  <si>
    <t>013350</t>
  </si>
  <si>
    <t>Önk-i vagyonnal való gazdálkodás</t>
  </si>
  <si>
    <t>041233</t>
  </si>
  <si>
    <t>Hosszabb időtartamú közfoglalkoztatás</t>
  </si>
  <si>
    <t>045160</t>
  </si>
  <si>
    <t>Közutak fenntartása</t>
  </si>
  <si>
    <t>066020</t>
  </si>
  <si>
    <t>Önk-i vagyonnal való gazd</t>
  </si>
  <si>
    <t>031060</t>
  </si>
  <si>
    <t>Bűnmegelőzés</t>
  </si>
  <si>
    <t>042120</t>
  </si>
  <si>
    <t>Mezőgazdasági támogatások</t>
  </si>
  <si>
    <t>047120</t>
  </si>
  <si>
    <t>Piac üzemeltetés</t>
  </si>
  <si>
    <t>052080</t>
  </si>
  <si>
    <t>063080</t>
  </si>
  <si>
    <t>Vízellátással kapcsolatosközmű fennt</t>
  </si>
  <si>
    <t>072111</t>
  </si>
  <si>
    <t>Háziorvosi alapellátás</t>
  </si>
  <si>
    <t>072112</t>
  </si>
  <si>
    <t>074031</t>
  </si>
  <si>
    <t>074032</t>
  </si>
  <si>
    <t>074051</t>
  </si>
  <si>
    <t>Nem fertőző megbetegedések megelőz</t>
  </si>
  <si>
    <t>083030</t>
  </si>
  <si>
    <t>Egyéb kiadói tevékenység</t>
  </si>
  <si>
    <t>104042</t>
  </si>
  <si>
    <t>104051</t>
  </si>
  <si>
    <t>Gyermekvédelmi támogatás</t>
  </si>
  <si>
    <t>106020</t>
  </si>
  <si>
    <t>Lakáfenntartási ellátások</t>
  </si>
  <si>
    <t>107060</t>
  </si>
  <si>
    <t>Egyéb szoc. Pénzbeli és természetb. Ell</t>
  </si>
  <si>
    <t>045150</t>
  </si>
  <si>
    <t>Egyéb szárazföldi személyszáll</t>
  </si>
  <si>
    <t>064010</t>
  </si>
  <si>
    <t>066010</t>
  </si>
  <si>
    <t>900060</t>
  </si>
  <si>
    <t>084031</t>
  </si>
  <si>
    <t>084032</t>
  </si>
  <si>
    <t>Civil szervezetek programtámogatása</t>
  </si>
  <si>
    <t>Vízellátással kapcs. Közmű fennt</t>
  </si>
  <si>
    <t>Ön-ki vagyonnal való gazd(bérbeadás)</t>
  </si>
  <si>
    <t>018030</t>
  </si>
  <si>
    <t>Támogatási célú finansz.műveletek</t>
  </si>
  <si>
    <t>Támogatási célú finanszírozási műveletek</t>
  </si>
  <si>
    <t>Finanszírozási
bevétel</t>
  </si>
  <si>
    <t>Finanszírozási
bevételek</t>
  </si>
  <si>
    <t>Finanszírozási 
bevételek</t>
  </si>
  <si>
    <t>Támogatási célú finanszírozási műveltek</t>
  </si>
  <si>
    <t>Város és községgazdálkodás</t>
  </si>
  <si>
    <t>Iskolai, diáksport tev. Támogatása</t>
  </si>
  <si>
    <t>072122</t>
  </si>
  <si>
    <t>018010</t>
  </si>
  <si>
    <t>Önkormányzatok elszám. Kp.-i ktgv. Szerv</t>
  </si>
  <si>
    <t>gépjárműadó</t>
  </si>
  <si>
    <t>egyéb közhatalmi bevétel</t>
  </si>
  <si>
    <t>Működési bevételek</t>
  </si>
  <si>
    <t>Működési célú tám. Áht belülről</t>
  </si>
  <si>
    <t>Felhalmozási célú tám. Áht. Belülről</t>
  </si>
  <si>
    <t>Működési célra átvett pénzeszközök</t>
  </si>
  <si>
    <t>Finanszírozási bevételek</t>
  </si>
  <si>
    <t>Munkaadókat terhelő jár. És szoc hj adó</t>
  </si>
  <si>
    <t>Egyéb felhalmozási célú kiadások</t>
  </si>
  <si>
    <t xml:space="preserve">   - településőr</t>
  </si>
  <si>
    <t xml:space="preserve">047120 </t>
  </si>
  <si>
    <t>Piac üzemeltetése</t>
  </si>
  <si>
    <t>Ifjúság-egészségügyi gondozás</t>
  </si>
  <si>
    <t>Munkaadókat terhelő járulékok és szoc hj adó</t>
  </si>
  <si>
    <t>Költségvetési szerveknek átadott finanszírozás</t>
  </si>
  <si>
    <t>27+29(30)</t>
  </si>
  <si>
    <t>05+20+26(31)</t>
  </si>
  <si>
    <t>12+25+30(32)</t>
  </si>
  <si>
    <t>31-32    (33)</t>
  </si>
  <si>
    <t>Felhalmozás-felújítás</t>
  </si>
  <si>
    <t>Arany J. u. gyalogátkelő hely kialakítása</t>
  </si>
  <si>
    <t>Normatív hozzájárulások</t>
  </si>
  <si>
    <t>Egyéb felhalmozási célcú kiad.</t>
  </si>
  <si>
    <t>Felhalmozási kiadások</t>
  </si>
  <si>
    <t>Működési bevétel</t>
  </si>
  <si>
    <t>Felhalmozási célra átvett péneszk</t>
  </si>
  <si>
    <t>Munkaadókat terhelő jár és szoc. Hj. Adó</t>
  </si>
  <si>
    <t>Ellátottak pénzbelijuttatásai</t>
  </si>
  <si>
    <t>Beruházások áfával</t>
  </si>
  <si>
    <t>Finanszírozási bevételek összesen</t>
  </si>
  <si>
    <t>Normatív állami hozzájárulások</t>
  </si>
  <si>
    <t>Egyéb működési célő kiadások</t>
  </si>
  <si>
    <t>Intézményeknek folyósított támogatás</t>
  </si>
  <si>
    <t>Bugyi Nagyközség Önkormányzatának a Stabilitási törvény 3. § (1) bekezdése szerinti 
adósságot keletkeztető ügyletekből és
kezességvállalásból fennálló kötelezettségei, valamint saját bevételek három évre várható összege</t>
  </si>
  <si>
    <t>I. A Stabilitási törvény 3. § (1) bekezdése szerinti adósságok keletkeztető ügyletek</t>
  </si>
  <si>
    <t xml:space="preserve">  - hitel, kölcsön felvétele, átvállalás</t>
  </si>
  <si>
    <t xml:space="preserve">  - hitelviszonyt megtestesítő értékpapír forgalomba hozatala</t>
  </si>
  <si>
    <t xml:space="preserve">  - váltó kibocsátása</t>
  </si>
  <si>
    <t xml:space="preserve">  - visszavásárlási köt.kikötésével megkötött adásv. Szerz</t>
  </si>
  <si>
    <t xml:space="preserve"> </t>
  </si>
  <si>
    <t xml:space="preserve">  - szerződésben kapott, halasztott fiz, részletfizetés</t>
  </si>
  <si>
    <t xml:space="preserve">  - pénzügyi lízing megkötése</t>
  </si>
  <si>
    <r>
      <t>Egyéb felhalmozási célú kiadások</t>
    </r>
    <r>
      <rPr>
        <sz val="8.5"/>
        <rFont val="MS Sans Serif"/>
        <family val="2"/>
        <charset val="238"/>
      </rPr>
      <t>(átadott pénzeszk)</t>
    </r>
  </si>
  <si>
    <t>Véglegesen átadott működési célú támogatások</t>
  </si>
  <si>
    <t xml:space="preserve">  Caritas 97 Bt működéséhez támogatás</t>
  </si>
  <si>
    <t xml:space="preserve">  Bugyi SE  működéséhez támogatás</t>
  </si>
  <si>
    <t xml:space="preserve">  GYURO-TEAM SE működéséhez támogatás</t>
  </si>
  <si>
    <t>Véglegesen átadott felhalmozási célú támogatások</t>
  </si>
  <si>
    <t xml:space="preserve">  Határon túli pályázat (általános iskolai gyerekek táboroztatásához)</t>
  </si>
  <si>
    <r>
      <t>Egyéb működési célú kiadások</t>
    </r>
    <r>
      <rPr>
        <sz val="8.5"/>
        <rFont val="MS Sans Serif"/>
        <family val="2"/>
        <charset val="238"/>
      </rPr>
      <t>(átadott pénzeszk)</t>
    </r>
  </si>
  <si>
    <t>Mindösszesen</t>
  </si>
  <si>
    <t>Államigazgatási feladatok</t>
  </si>
  <si>
    <t>Összesített költségvetési bevétel összesen</t>
  </si>
  <si>
    <t>Összesített költségvetési kiadás összesen</t>
  </si>
  <si>
    <t>Kötelező feladatokhoz kapcsolódó ltségvetési bevétel összesen</t>
  </si>
  <si>
    <t>Önként vállalt feladatokhoz kapcsolódó költségvetési bevétel összesen</t>
  </si>
  <si>
    <r>
      <t>I.</t>
    </r>
    <r>
      <rPr>
        <sz val="10"/>
        <rFont val="MS Sans Serif"/>
        <family val="2"/>
        <charset val="238"/>
      </rPr>
      <t xml:space="preserve">  </t>
    </r>
    <r>
      <rPr>
        <u/>
        <sz val="10"/>
        <rFont val="MS Sans Serif"/>
        <family val="2"/>
        <charset val="238"/>
      </rPr>
      <t xml:space="preserve">(1) Bugyi Nagyközség Önkormányzatának a  Stabilitási törvény szerinti adósságot keletkeztető ügyletekből és 
</t>
    </r>
    <r>
      <rPr>
        <sz val="10"/>
        <rFont val="MS Sans Serif"/>
        <family val="2"/>
        <charset val="238"/>
      </rPr>
      <t xml:space="preserve">     </t>
    </r>
    <r>
      <rPr>
        <u/>
        <sz val="10"/>
        <rFont val="MS Sans Serif"/>
        <family val="2"/>
        <charset val="238"/>
      </rPr>
      <t>kezességvállalásból fennálló kötelezettsége nincs</t>
    </r>
  </si>
  <si>
    <t>Eredeti 
ei.</t>
  </si>
  <si>
    <t>Módosított 
ei.</t>
  </si>
  <si>
    <t>Eredeti előirányzat</t>
  </si>
  <si>
    <t>Módosított előirányzat</t>
  </si>
  <si>
    <t>Önként vállalt feladatok kiadása összesen</t>
  </si>
  <si>
    <t>Államigazgatási feladatok kiadása összesen</t>
  </si>
  <si>
    <t>Eredeti 
előirányzat</t>
  </si>
  <si>
    <t>Módosított 
előirányzat</t>
  </si>
  <si>
    <t>Módosított
előirányzat</t>
  </si>
  <si>
    <t>Nem fertőző megbetegedések megelőzése</t>
  </si>
  <si>
    <t>Módosított előirányzat összesen</t>
  </si>
  <si>
    <t>Eredeti ei.</t>
  </si>
  <si>
    <t xml:space="preserve">                       Felújítási és Beruházási kiadások eredeti előirányzata összesen *</t>
  </si>
  <si>
    <t xml:space="preserve">                       Felújítási és Beruházási kiadások módosított előirányzata összesen *</t>
  </si>
  <si>
    <t>Kötelező költségvetési bevétel összesen</t>
  </si>
  <si>
    <t>Önként vállalt feladatok költségvetési bevétel összesen</t>
  </si>
  <si>
    <t>Költségvetési bevétel mindösszesen</t>
  </si>
  <si>
    <t>Kötelező feladatok ktgv.kiadása összesen</t>
  </si>
  <si>
    <t>Önként vállalt feladatok ktgv. Kiadása összesen</t>
  </si>
  <si>
    <t>Költségvetési kiadások összesen</t>
  </si>
  <si>
    <t>Sajátos nevelési igényű gyerekek 
óvodai nevelés</t>
  </si>
  <si>
    <t>Sajátos nevelési igényű gyerekek
 óvodai nevelés</t>
  </si>
  <si>
    <t>Felújítási kiadások</t>
  </si>
  <si>
    <t>Felhalmozási, felújítási kiadások</t>
  </si>
  <si>
    <t>Önkormányzatok kiegészítő támogatása</t>
  </si>
  <si>
    <t>Önkormányzatok felhalmozási támogatásai</t>
  </si>
  <si>
    <t>Felhalmozási célú támogatások</t>
  </si>
  <si>
    <t>Önk.igazg.tevékenysége</t>
  </si>
  <si>
    <t>Önk.igazgatási tevékenysége</t>
  </si>
  <si>
    <t>Átvett pénzeszköz</t>
  </si>
  <si>
    <t>096015</t>
  </si>
  <si>
    <t>Gyermekétkeztetés köznev. Intézményben</t>
  </si>
  <si>
    <t>Maradvány</t>
  </si>
  <si>
    <t>Gyermekétkeztetés köznevelési int.</t>
  </si>
  <si>
    <t>Gyermekétk.köznev. Intben</t>
  </si>
  <si>
    <t>mezőőri járulék</t>
  </si>
  <si>
    <t>Előző évi maradvány</t>
  </si>
  <si>
    <t>Gyermekétk.köznev. Intézményben</t>
  </si>
  <si>
    <t xml:space="preserve">  -óvodapedagógusok minősítésének kieg.tám.</t>
  </si>
  <si>
    <t>Gyermekétkeztetés köznev.int.</t>
  </si>
  <si>
    <t>Gyermekétk.köznev.int.</t>
  </si>
  <si>
    <t>Értékpapír befektetés</t>
  </si>
  <si>
    <t>Lekötött bankbetétek megszüntetése</t>
  </si>
  <si>
    <t>Működési célú és kiegészítő támogatások</t>
  </si>
  <si>
    <t>Önk.elszámolásai a kp.ktgvet.szervekkel</t>
  </si>
  <si>
    <t>Felújítási és Beruházási kiadások mód. ei. összesen *</t>
  </si>
  <si>
    <t>Felújítási és Beruházási kiadások eredeti ei. összesen *</t>
  </si>
  <si>
    <t>könyvvásárlás könyvtárba</t>
  </si>
  <si>
    <t>Költségvetési hiány belső finanszírozására 
szolgáló pénzf. nélküli bevétel (maradvány)</t>
  </si>
  <si>
    <t>Áh.belüli megelőleg.vfizetése</t>
  </si>
  <si>
    <t>Lekötött betét</t>
  </si>
  <si>
    <t>El.évi ktgvetési előleg vfiz.</t>
  </si>
  <si>
    <t xml:space="preserve">        - ebből felhalmozási célra igénybevett maradvány</t>
  </si>
  <si>
    <t xml:space="preserve">        - ebből finanszírozási kiadásra igénybevett maradvány</t>
  </si>
  <si>
    <t xml:space="preserve">        - ebből működési célra igénybevett maradvány</t>
  </si>
  <si>
    <t>Maradvány igénybevétele a műk.  hiány fedezetére:</t>
  </si>
  <si>
    <t>Értékpapír beváltása</t>
  </si>
  <si>
    <t>Előző évi ktgvetési maradvány</t>
  </si>
  <si>
    <t>Értékpapír vásárlása</t>
  </si>
  <si>
    <t>El.évi ktgvetési megelőleg.visszafizetése</t>
  </si>
  <si>
    <t>Eredeti előirányzat összesen</t>
  </si>
  <si>
    <t xml:space="preserve">Államháztartáson belüli </t>
  </si>
  <si>
    <t>Gyermekvédelmi támogatások</t>
  </si>
  <si>
    <t>Hosszabb időtart. Közfoglalkoztatás</t>
  </si>
  <si>
    <t>Óvodai nev.,ell.szakmai feladatai</t>
  </si>
  <si>
    <t>Óvodai nev.,ell. működési feladatai</t>
  </si>
  <si>
    <t>Államigazgatási feladatokhoz kapcsolódó költségvetési bevétel összesen</t>
  </si>
  <si>
    <t>Műk.célra átvett pénzeszköz</t>
  </si>
  <si>
    <t>Fianaszírozási bevételek</t>
  </si>
  <si>
    <t xml:space="preserve">                       Felújítási és Beruházási kiadások teljesítés összesen *</t>
  </si>
  <si>
    <t xml:space="preserve">                       Felújítási és Beruházási kiadások teljesítése összesen *</t>
  </si>
  <si>
    <t>Elszámolásból szárm.bevételek</t>
  </si>
  <si>
    <t xml:space="preserve">Felújítási és Beruházási kiadások teljesítés összesen </t>
  </si>
  <si>
    <t>107052</t>
  </si>
  <si>
    <t>Házi segítségnyújtás</t>
  </si>
  <si>
    <t>Működési célra átvett pénzeszköz</t>
  </si>
  <si>
    <t>Működési célra átvett péneszk.</t>
  </si>
  <si>
    <t>Működési célra átvett péneszközök</t>
  </si>
  <si>
    <t>Működési célú tám. áht belülről</t>
  </si>
  <si>
    <t>Felhalmozási célú tám. áht. Belülről</t>
  </si>
  <si>
    <t>Munkaadókat terhelő jár. és szoc hj adó</t>
  </si>
  <si>
    <t>Bess.György Műv.ház és Könyvtár</t>
  </si>
  <si>
    <t>Kisértékű tárgyi eszközök:</t>
  </si>
  <si>
    <t xml:space="preserve"> -egyéb eszközök</t>
  </si>
  <si>
    <t>kisértékű tárgyi eszközök</t>
  </si>
  <si>
    <t>Bajcsy u. gyalogátkelő hely kialakítása</t>
  </si>
  <si>
    <t xml:space="preserve"> Bocskai ref. kisbusz támogatás</t>
  </si>
  <si>
    <t xml:space="preserve">  Dabas és Környéke Mentőorvosi Mentőtiszti Kocsi Nonprofit Kft.         egyszeri támogatás</t>
  </si>
  <si>
    <t>104037</t>
  </si>
  <si>
    <t>Int. kívüli gyermekétkeztetés</t>
  </si>
  <si>
    <t>Int.kívüli gyermekétkeztetés</t>
  </si>
  <si>
    <t>közcélú munka támogatása</t>
  </si>
  <si>
    <t>081043</t>
  </si>
  <si>
    <t>Előző  évi maradvány</t>
  </si>
  <si>
    <t>Felhal.és műk. Célra átvett pénzeszk.</t>
  </si>
  <si>
    <t>Egyéb felhalmozási célú kiad.</t>
  </si>
  <si>
    <t xml:space="preserve">Előző  évi maradvány </t>
  </si>
  <si>
    <t>Önkormányzatok elsz. a kp.ktgvet.szerveikkel</t>
  </si>
  <si>
    <t>Önkormányzatok elszám. Kp.-i ktgv. szervezeteivel</t>
  </si>
  <si>
    <t>Előző évek maradványának igénybevételével:</t>
  </si>
  <si>
    <t>Egyéb működési célú kiadások(átadott pénzeszk)</t>
  </si>
  <si>
    <t>Egyéb felhalmozási célú kiadások(átadott pénzeszk)</t>
  </si>
  <si>
    <t xml:space="preserve"> Révfülöpi tábor működési támogatás</t>
  </si>
  <si>
    <r>
      <t xml:space="preserve">  -</t>
    </r>
    <r>
      <rPr>
        <sz val="10"/>
        <rFont val="MS Sans Serif"/>
        <family val="2"/>
        <charset val="238"/>
      </rPr>
      <t>polgármester</t>
    </r>
  </si>
  <si>
    <r>
      <t xml:space="preserve">  -</t>
    </r>
    <r>
      <rPr>
        <sz val="10"/>
        <rFont val="MS Sans Serif"/>
        <family val="2"/>
        <charset val="238"/>
      </rPr>
      <t>alpolgármester</t>
    </r>
  </si>
  <si>
    <t>900020</t>
  </si>
  <si>
    <t>Önk.funkcióra nem sorolható bev.áh.kívülről</t>
  </si>
  <si>
    <t>Forgatási és bef. célú finanszírozási műv.</t>
  </si>
  <si>
    <t xml:space="preserve">  -könyvtár érdekeltségnövelő támogatás</t>
  </si>
  <si>
    <t>016020</t>
  </si>
  <si>
    <t>Országos és helyi népszavazással kapcs.tev.</t>
  </si>
  <si>
    <t>082042</t>
  </si>
  <si>
    <t>Könyvtári állomány gyarapítása, nyilvántartása</t>
  </si>
  <si>
    <t xml:space="preserve">  -rászoruló gyerm. Szünidei étkeztetése</t>
  </si>
  <si>
    <t xml:space="preserve"> Polgárőrség működési támogatás</t>
  </si>
  <si>
    <t>Sport park kialakítása</t>
  </si>
  <si>
    <t xml:space="preserve"> Pest m. Rendőrkapitányság: Kocsis Ferenc üzemanyag,alkt.</t>
  </si>
  <si>
    <t xml:space="preserve">Költségvetési bevételek </t>
  </si>
  <si>
    <t>Költségvetési bevételek irányító szervi támogatással korrigált összege</t>
  </si>
  <si>
    <t>Költségvetési kiadások</t>
  </si>
  <si>
    <t>Költségvetési kiadások irányító szervi támogatással korrigált összege</t>
  </si>
  <si>
    <r>
      <t xml:space="preserve">   </t>
    </r>
    <r>
      <rPr>
        <sz val="12"/>
        <rFont val="MS Sans Serif"/>
        <family val="2"/>
        <charset val="238"/>
      </rPr>
      <t>Bugyi SE. TAO pályázat önrész:</t>
    </r>
  </si>
  <si>
    <t>labdarúgás</t>
  </si>
  <si>
    <t>kézilabda</t>
  </si>
  <si>
    <t>kisértékű egyéb tárgyi eszközök</t>
  </si>
  <si>
    <t>018020</t>
  </si>
  <si>
    <t>Központi költségvetési bevételek</t>
  </si>
  <si>
    <t>104052</t>
  </si>
  <si>
    <t>Családtámogatások</t>
  </si>
  <si>
    <t>önkormányzat egyéb  kisértékű tárgyi eszközök</t>
  </si>
  <si>
    <t>védőnők egyéb kisértékű tárgyi eszközök</t>
  </si>
  <si>
    <t>Ön-ki vagyonnal való gazdálkodás</t>
  </si>
  <si>
    <t>VP6-7.2.1-7.4.1.2-16 (külterületi utak) pályázat támogatás</t>
  </si>
  <si>
    <t>2201. hrsz.(Sári út) terület értékesítése</t>
  </si>
  <si>
    <t>Mindösszesen:</t>
  </si>
  <si>
    <t>Önerő összege</t>
  </si>
  <si>
    <t>Támogatás összege</t>
  </si>
  <si>
    <t>Várható összes kiadás</t>
  </si>
  <si>
    <t>Zöldterület kezelés</t>
  </si>
  <si>
    <t>Önkormányzati költségvetési hiány/többlet:</t>
  </si>
  <si>
    <t xml:space="preserve"> Koi Kyokosin Karate Klub működési támogatás</t>
  </si>
  <si>
    <t>Értékpapír vásárlás</t>
  </si>
  <si>
    <t>2021. év</t>
  </si>
  <si>
    <t>adatok forintban</t>
  </si>
  <si>
    <t>Önkormányzat költségvetési évet követő három év tervezett költségvetési bevételi és költségvetési kiadási előirányzatai ( adatok Ft-ban)</t>
  </si>
  <si>
    <t>kisértékű tárgyi eszközök hivatal</t>
  </si>
  <si>
    <t>36. hrsz.(Ürbői út 8.) értékesítése</t>
  </si>
  <si>
    <t>Finanszírozási bevétel értékpapírból</t>
  </si>
  <si>
    <t>Egyéb szárazföldi személyszállítás</t>
  </si>
  <si>
    <t>Visszafizetési kötelezettséggel átadott felhalmozási célú támogatások</t>
  </si>
  <si>
    <t>Református Egyház iskola tetőfelújításra átadott támogatás</t>
  </si>
  <si>
    <t>4 db várótermi szék</t>
  </si>
  <si>
    <t>egyéb kisértékű eszközök</t>
  </si>
  <si>
    <t>raktárépületek építése</t>
  </si>
  <si>
    <t>Sportcsarnok előtti tér kertépítés, kivitelezés</t>
  </si>
  <si>
    <t>Borzasi Kápolna felújítása</t>
  </si>
  <si>
    <t>104031</t>
  </si>
  <si>
    <t>Gyermekek bölcsödei ellátása</t>
  </si>
  <si>
    <t xml:space="preserve"> Rákóczi Szövetség működési támogatás</t>
  </si>
  <si>
    <t xml:space="preserve"> Délegyházi Önkéntes Tűzoltóság támogatás</t>
  </si>
  <si>
    <t xml:space="preserve">                           a helyi adóból és a települési adóból származó bevétel,</t>
  </si>
  <si>
    <t>2021.</t>
  </si>
  <si>
    <t>Működési célra átvett pénze.</t>
  </si>
  <si>
    <t xml:space="preserve">  Bugyi SE  Sportcsarnok működéséhez támogatás</t>
  </si>
  <si>
    <t xml:space="preserve">                           a helyi adóból és települési adóból származó bevétel,</t>
  </si>
  <si>
    <t xml:space="preserve">                          a kezesség-, ill. a garanciavállalással kapcsolatos megtérülés.</t>
  </si>
  <si>
    <t xml:space="preserve"> Ócsai Önkéntes Tűzoltóság támogatás</t>
  </si>
  <si>
    <t>2022. év</t>
  </si>
  <si>
    <t>2022.</t>
  </si>
  <si>
    <t>elkerülő út II.szakasz kivitelezéséhez 10 ha erdőterület
 megvásárlása, csereerdősítés</t>
  </si>
  <si>
    <t>Béke köz csatornázása és aszfaltozása</t>
  </si>
  <si>
    <t>Közművelődési érdekeltségnövelő támogatás</t>
  </si>
  <si>
    <t>Napköziotthonos Konyha légtechnika szerelés</t>
  </si>
  <si>
    <t>70B1 erdő csereerdősítés költsége 1,35 ha</t>
  </si>
  <si>
    <t>Polgármesteri Hivatal udvar rendezése</t>
  </si>
  <si>
    <t>40 db építési telek értékesítése</t>
  </si>
  <si>
    <t>Bölcsöde épület + bútor</t>
  </si>
  <si>
    <t>orvosi ügyelet kazán</t>
  </si>
  <si>
    <t>irodabútorok, tanácsterem bútorok</t>
  </si>
  <si>
    <t xml:space="preserve">  Péter Cerny Alapítvány támogatása</t>
  </si>
  <si>
    <t>Ürbői utca felújítása</t>
  </si>
  <si>
    <t>Új telkek közművesítése (áram, gáz, útalap)</t>
  </si>
  <si>
    <t>Irinyi J. utca kialakítása (közmű, útalap)</t>
  </si>
  <si>
    <t>Emberi Erőforrások Minisztériuma Bursa tám</t>
  </si>
  <si>
    <t>Új utca kétoldali kerékpársáv építés</t>
  </si>
  <si>
    <t>adatok Ft-ban</t>
  </si>
  <si>
    <t>057/5 hrsz-ú terület értékesítése</t>
  </si>
  <si>
    <t xml:space="preserve">  Bugyi SE túraszakosztály támogatása</t>
  </si>
  <si>
    <t xml:space="preserve"> -közszférában fogl.2020.évi bérkompenzációja</t>
  </si>
  <si>
    <t>buszmegállók terve és várótermek kialakítása</t>
  </si>
  <si>
    <t>Arany J. és Bajcsy Zs utca kerékpárút kiépítése</t>
  </si>
  <si>
    <t>Ürbőpuszta-Juhászföld vízeállátás megoldása</t>
  </si>
  <si>
    <t>Temető bejáratának aszfaltozása</t>
  </si>
  <si>
    <t>Teherautó vásárlás TEFÜSZ részére</t>
  </si>
  <si>
    <t>Hivatal udvar parkolóba árnyékoló kiépítésének terve</t>
  </si>
  <si>
    <t>Gumi futópálya kialakítása</t>
  </si>
  <si>
    <t>TEFÜSZ öltöző és vizesblokk felújítás</t>
  </si>
  <si>
    <t>TEFÜSZ iroda nyílászárók cseréje</t>
  </si>
  <si>
    <t>Közterületi faültetés</t>
  </si>
  <si>
    <t>Iskola kosárlabda palánk</t>
  </si>
  <si>
    <t xml:space="preserve">2 db fénymásológép </t>
  </si>
  <si>
    <t xml:space="preserve">  Dabas és Térsége Nyugdíjas Rendőreinek Egyesülete</t>
  </si>
  <si>
    <t xml:space="preserve">  Spartacus Testedző Kör bírkozó Szakosztály (Kosovics gyerekek tábor ktg)</t>
  </si>
  <si>
    <t xml:space="preserve"> Reménysugár Alapítvány működési támogatása</t>
  </si>
  <si>
    <t>Szív Hangja Alapítvány működési támogatása</t>
  </si>
  <si>
    <t>Medicopter Alapítvány működési támogatása</t>
  </si>
  <si>
    <t xml:space="preserve">  Bugyelláris Egyesület krumplifesztivál pályázati előfinanszírozása</t>
  </si>
  <si>
    <t xml:space="preserve">  Bugyelláris Egyesület tájház pályázat előfinanszírozása</t>
  </si>
  <si>
    <t>Bugyerlláris Egyesület krumplifesztivál megelőlegezett páláyzati rész visszafizetése</t>
  </si>
  <si>
    <t>Református Egyház tetőfelújításra átadott vfiz. köt. Támogatása</t>
  </si>
  <si>
    <t xml:space="preserve"> 2020. évi szolidaritási hozzájárulás</t>
  </si>
  <si>
    <t>Bugyi Nagyközség Önkormányzat 2020. évi átadott pénzeszközei, működési célú kiadásai, támogatásai (adatok forintban)</t>
  </si>
  <si>
    <t>Bugyi Nagyközség Önkormányzatának 2020. évi költségvetési bevételei (adatok forintban)</t>
  </si>
  <si>
    <t>Bugyi Nagyközség Önkormányzatának és az általa irányított költségvetési szervek 2020. évi költségvetési bevételei és költségvetési kiadásai (adatok forintban)</t>
  </si>
  <si>
    <t>Bugyi Nagyközség Önkormányzatának 2020. évi összesített kötelező, önként vállalt és államigazgatási 
feladatok költségvetési bevételek és kiadások részletezése (adatok forintban)</t>
  </si>
  <si>
    <t>Bugyi Nagyközség Önkormányzatának 2020. évi összesített költségvetési mérlege
 (adatok forintban)</t>
  </si>
  <si>
    <t>Bugyi Nagyközség Önkormányzat és az általa irányított költségvetési szervek 2020. évi öszesített költségvetésének előirányzat-felhasználási  ütemterve (adatok forintban)</t>
  </si>
  <si>
    <t>Bugyi Nagyközség Önkormányzatának 2020. évi  költségvetési bevételeinek részletezése (adatok forintban)</t>
  </si>
  <si>
    <t>Bugyi Nagyközség Önkormányzat 2020. évi költségvetési támogatásának kimutatása (adatok forintban)</t>
  </si>
  <si>
    <t>Bugyi Nagyközség Önkormányzatának 2020. évi költségvetési kiadásai (adatok forintban)</t>
  </si>
  <si>
    <t xml:space="preserve"> Bugyi Nagyközség Önkormányzat 2020. évi beruházási és felújítási kiadásai (adatok forintban)</t>
  </si>
  <si>
    <t>Bugyi Nagyközség Önkormányzatának 2020. évi kötelező, önként vállalt és államigazgatási 
feladatok költségvetési bevételeinek és költségvetési kiadásainak részletezése (adatok forintban)</t>
  </si>
  <si>
    <t>Bugyi Nagyközségi Önkormányzat működési és felhalmozási célú bevételek és kiadások előirányzata 2020. évben (adatok forintban)</t>
  </si>
  <si>
    <t>Bugyi Nagyközség Önkormányzatának 2020. évi közvetett támogatásai (adatok forintban)</t>
  </si>
  <si>
    <t>Bugyi Nagyközség Önkormányzat 2020. évi költségvetésének  több éves kihatással járó kiadásainak részletezése                      (adatok forintban)</t>
  </si>
  <si>
    <t>Bugyi Nagyközség Önkormányzatának a Stabilitási törvény 3. § (1) bekezdése szerinti 
adósságot keletkeztető ügyletekből és
kezességvállalásból fennálló kötelezettségei 2020. évben</t>
  </si>
  <si>
    <t>Bugyi Nagyközség Önkormányzat és az általa irányított költségvetési szervek 2020. évi létszámkerete költségvetési szervenkénti bontással</t>
  </si>
  <si>
    <t>Bugyi Nagyközség Önkormányzat által irányított költségvetési szervek által foglalkoztatott közfoglalkoztatottak 2020. évi létszáma 
költségvetési szervenkénti bontással</t>
  </si>
  <si>
    <t>Bugyi Nagyközségi Polgármesteri Hivatal 2020. évi  költségvetési bevételeinek és költségvetési kiadásainak részletezése (adatok forintban)</t>
  </si>
  <si>
    <t>Bugyi Nagyközségi Polgármesteri Hivatal 2020. évi  kötelező, önként vállalt és államigazgatási költségvetési bevételeinek és költségvetési kiadásainak részletezése (adatok forintban)</t>
  </si>
  <si>
    <t xml:space="preserve"> Bugyi Nagyközségi Polgármesteri Hivatal 2020. évi beruházási és felújítási kiadásai (adatok forintban)</t>
  </si>
  <si>
    <t>Bugyi Nagyközségi Napköziotthonos Óvoda 2020. évi  költségvetési bevételeinek és költségvetési kiadásainak részletezése (adatok forintban)</t>
  </si>
  <si>
    <t>Bugyi Nagyközségi Napköziotthonos Óvoda 2020. évi  kötelező, önként vállalt és államigazgatási feladataihoz kapcsolódó költségvetési bevételeinek és költségvetési kiadásainak részletezése (adatok forintban)</t>
  </si>
  <si>
    <t xml:space="preserve"> Napköziotthonos Óvoda 2020. évi beruházási és felújítási kiadásai (adatok forintban)</t>
  </si>
  <si>
    <t xml:space="preserve"> Bessenyei György Művelődési Ház és Könyvtár 2020. évi beruházási és felújítási kiadásai (adatok forintban)</t>
  </si>
  <si>
    <t>Településfejlesztési-ellátási és Üzemeltetési Szerv 2020. évi költségvetési bevételeinek és költségvetési kiadásainak részletezése (adatok forintban)</t>
  </si>
  <si>
    <t>Településfejlesztési-ellátási és Üzemeltetési Szerv 2020 évi  kötelező, önként vállalt és államigazgatási feladatok költségvetési bevételeinek és költségvetési kiadásainak részletezése (adatok forintban)</t>
  </si>
  <si>
    <t xml:space="preserve"> Településfejlesztési-ellátási és Üzemeltetési Szerv 2020. évi beruházási és felújítási kiadásai (adatok forintban)</t>
  </si>
  <si>
    <t>Bugyi Nagyközség Önkormányzat és az általa irányított költségvetési szervek 2020. évi költségvetésének előirányzat-felhasználási  ütemterve (adatok forintban)</t>
  </si>
  <si>
    <t>Bugyi Nagyközség Önkormányzatának 2020. évi költségvetési mérlege
 (adatok forintban)</t>
  </si>
  <si>
    <t>Bugyi Nagyközség Önkormányzat 2020. évi  céltartalékainak és kapcsolódó bevételeinek részletezése (adatok forintban)</t>
  </si>
  <si>
    <t>Óvodák átalakítása</t>
  </si>
  <si>
    <t>Textilek cseréje mindhárom oviban (párnák, zsákok, függöny)</t>
  </si>
  <si>
    <t>.-Jókai utcai Katica Óvodába irodai asztal és székek</t>
  </si>
  <si>
    <t>.-Bóbita óvodában tükrök cseréje</t>
  </si>
  <si>
    <t>.-Katica óvodában pohár és törölköző tartó</t>
  </si>
  <si>
    <t>.-Napraforgó óvodában konyhai tálalószekrény</t>
  </si>
  <si>
    <t>.- Napraforgó óvodában mikrohullámú sütő</t>
  </si>
  <si>
    <t>.-Műanyag asztal udvarra</t>
  </si>
  <si>
    <t>.-Műanyag szék udvarra</t>
  </si>
  <si>
    <t>.- lóca öltözőszekrényhez</t>
  </si>
  <si>
    <t>.- Fa szék egy csoportban csere</t>
  </si>
  <si>
    <t>E-book, blokknyomtató</t>
  </si>
  <si>
    <t>páramentesítő</t>
  </si>
  <si>
    <t>bútorzat (polc, székalátét)</t>
  </si>
  <si>
    <t>könnyűzenei iskola eszközpark bővítés</t>
  </si>
  <si>
    <t>irodai székek, lámpa, fellépő ruház</t>
  </si>
  <si>
    <t>sövényvágó</t>
  </si>
  <si>
    <t>közúti táblák</t>
  </si>
  <si>
    <t>Bugyi 70/B erdőtelepítés /2020.évi rész/</t>
  </si>
  <si>
    <t>Kazinczy Iskolában udvari játékok felújítása +szegély</t>
  </si>
  <si>
    <t xml:space="preserve">Puskás T. u. orvosi rendelő előtető </t>
  </si>
  <si>
    <t xml:space="preserve">TEFÜSZ ford felépítmény </t>
  </si>
  <si>
    <t>Kossuth 17. rendelő klímaberendezés</t>
  </si>
  <si>
    <t>Orvosi ügyelet WC átalakítás</t>
  </si>
  <si>
    <t>Temető 90 m kerítés építés</t>
  </si>
  <si>
    <t>járdák rekonstrukciója</t>
  </si>
  <si>
    <t>8 db gyalogátkelőhely tervköltsége</t>
  </si>
  <si>
    <r>
      <t>Uszoda</t>
    </r>
    <r>
      <rPr>
        <sz val="11"/>
        <rFont val="Calibri"/>
        <family val="2"/>
        <charset val="238"/>
        <scheme val="minor"/>
      </rPr>
      <t xml:space="preserve"> kiviteli terv</t>
    </r>
  </si>
  <si>
    <t>Integrált egészségügyi szolgáltatóhely kialakításának terve</t>
  </si>
  <si>
    <t>Polgármesteri hivatal előtti tér tervezése, rendezése</t>
  </si>
  <si>
    <t xml:space="preserve">Központi Óvoda fűtéskorszerűsítés </t>
  </si>
  <si>
    <t>Sport utca (csarnok mögötti) járda elkészítése</t>
  </si>
  <si>
    <t>Teleki utca Tájház melletti járda elkészítése</t>
  </si>
  <si>
    <t xml:space="preserve"> Bugyi Nagyközségért Közalapítvány támogatása</t>
  </si>
  <si>
    <t xml:space="preserve"> -fektetőágyak</t>
  </si>
  <si>
    <t xml:space="preserve">hóeke </t>
  </si>
  <si>
    <t>irattárnak konténer + polc</t>
  </si>
  <si>
    <t>4  db hirdetőtábla köztérre</t>
  </si>
  <si>
    <t>Bugyi 01601/10,12 hrsz erdőtelepítés (2020. évi rész)</t>
  </si>
  <si>
    <t>Bugyerlláris Egyesület Tájház megelőlegezett pályázati rész visszafizetése</t>
  </si>
  <si>
    <t>2020. évi béremelés bruttó bér és szociális hozzájárulás</t>
  </si>
  <si>
    <t>2023. év</t>
  </si>
  <si>
    <t>A Stabilitási törvény 45. § (1) bekezdése alapján kiadott felhatalmazás szerint a 353/2011. (XII.30.) korm rendelet szerinti 
saját bevétel 50%-a: 376 909 500</t>
  </si>
  <si>
    <t xml:space="preserve">KEHOP-12.1-18-2018-00211 páyázat helyi klímastratégia </t>
  </si>
  <si>
    <t xml:space="preserve">6 db térfigyelő kamera </t>
  </si>
  <si>
    <t>Mezőőri szolgálat részére hőkamera vás</t>
  </si>
  <si>
    <t>Szennyvíz átemelő szivattyúk vezérlésének javítása</t>
  </si>
  <si>
    <t>Bessenyei György Művelődési Ház és Könyvtár 
 2020. évi  költségvetési bevételeinek és költségvetési kiadásainak részletezése (adatok forintban)</t>
  </si>
  <si>
    <t>Bessenyei György Művelődési Ház és Könyvtár 
 2020. évi  kötelező, önként vállalt és államigazgatási feladatokhoz kapcsolódó költségvetési bevételeinek és költségvetési kiadásainak részletezése (adatok forintban)</t>
  </si>
  <si>
    <t>Bessenyei György Művelődési Ház és Könyvtár</t>
  </si>
  <si>
    <t xml:space="preserve">Bessenyei Gy. Műv Ház és
Könyvtár </t>
  </si>
  <si>
    <t xml:space="preserve">Bessenyei György Művelődési Ház és Könyvtár </t>
  </si>
  <si>
    <t>Hazai támogatás</t>
  </si>
  <si>
    <t>KEHOP-12.1-18-2018-00211 páyázat helyi klímastratégia  (dologi kiadás)</t>
  </si>
  <si>
    <t>VP6-19.2.1.-33-3-17 Borzasi kápolna felújítása</t>
  </si>
  <si>
    <t>VP6-19.2.1.-33-3-17 Borzasi kápolna felújításának támogatása</t>
  </si>
  <si>
    <t>PM_KEREKPARUT_2018/14 Arany J és Bajcsy u kerékpárút ép tám</t>
  </si>
  <si>
    <t>Általános Iskola villámvédelem</t>
  </si>
  <si>
    <t>Módosított ei.</t>
  </si>
  <si>
    <t xml:space="preserve">  -2020. évi bérkompenzáció</t>
  </si>
  <si>
    <t>Államháztartáson belüli megelőlegezés</t>
  </si>
  <si>
    <t>074070</t>
  </si>
  <si>
    <t>Fertőző megbetegedések megelőzése</t>
  </si>
  <si>
    <t>Bugyi Nagyközségi Bölcsőde 2020. évi
 költségvetési bevételeinek és költségvetési kiadásainak részletezése (adatok forintban)</t>
  </si>
  <si>
    <t>Gyermekek bölcsődei ellátása</t>
  </si>
  <si>
    <t>Bugyi Nagyközségi
 Bölcsőde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</si>
</sst>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Ft&quot;#,##0_);[Red]\(&quot;Ft&quot;#,##0\)"/>
    <numFmt numFmtId="165" formatCode="_(&quot;Ft&quot;* #,##0_);_(&quot;Ft&quot;* \(#,##0\);_(&quot;Ft&quot;* &quot;-&quot;_);_(@_)"/>
    <numFmt numFmtId="166" formatCode="_(&quot;Ft&quot;* #,##0.00_);_(&quot;Ft&quot;* \(#,##0.00\);_(&quot;Ft&quot;* &quot;-&quot;??_);_(@_)"/>
    <numFmt numFmtId="167" formatCode="_-* #,##0.00\ _F_t_-;\-* #,##0.00\ _F_t_-;_-* &quot;-&quot;??\ _F_t_-;_-@_-"/>
    <numFmt numFmtId="168" formatCode="_-* #,##0\ &quot;Ft&quot;_-;\-* #,##0\ &quot;Ft&quot;_-;_-* &quot;-&quot;??\ &quot;Ft&quot;_-;_-@_-"/>
    <numFmt numFmtId="169" formatCode="#,##0\ &quot;Ft&quot;"/>
    <numFmt numFmtId="170" formatCode="#,##0\ _F_t"/>
    <numFmt numFmtId="171" formatCode="_-* #,##0\ _F_t_-;\-* #,##0\ _F_t_-;_-* &quot;-&quot;??\ _F_t_-;_-@_-"/>
  </numFmts>
  <fonts count="118" x14ac:knownFonts="1">
    <font>
      <sz val="10"/>
      <name val="MS Sans Serif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12"/>
      <name val="MS Sans Serif"/>
      <family val="2"/>
      <charset val="238"/>
    </font>
    <font>
      <b/>
      <sz val="12"/>
      <name val="MS Sans Serif"/>
      <family val="2"/>
      <charset val="238"/>
    </font>
    <font>
      <b/>
      <sz val="14"/>
      <name val="MS Sans Serif"/>
      <family val="2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MS Sans Serif"/>
      <family val="2"/>
      <charset val="238"/>
    </font>
    <font>
      <sz val="8"/>
      <name val="Times New Roman"/>
      <family val="1"/>
    </font>
    <font>
      <b/>
      <sz val="12"/>
      <name val="MS Sans Serif"/>
      <family val="2"/>
    </font>
    <font>
      <sz val="12"/>
      <name val="MS Sans Serif"/>
      <family val="2"/>
    </font>
    <font>
      <sz val="9"/>
      <name val="MS Sans Serif"/>
      <family val="2"/>
    </font>
    <font>
      <b/>
      <sz val="9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b/>
      <i/>
      <sz val="12"/>
      <name val="MS Sans Serif"/>
      <family val="2"/>
    </font>
    <font>
      <i/>
      <sz val="12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10"/>
      <name val="Arial"/>
      <family val="2"/>
      <charset val="238"/>
    </font>
    <font>
      <b/>
      <sz val="10"/>
      <color indexed="8"/>
      <name val="Arial CE"/>
    </font>
    <font>
      <sz val="10"/>
      <name val="Arial"/>
      <family val="2"/>
      <charset val="238"/>
    </font>
    <font>
      <b/>
      <u/>
      <sz val="10"/>
      <color indexed="8"/>
      <name val="Arial CE"/>
      <family val="2"/>
    </font>
    <font>
      <u/>
      <sz val="10"/>
      <color indexed="8"/>
      <name val="Arial CE"/>
      <family val="2"/>
    </font>
    <font>
      <b/>
      <sz val="8"/>
      <color indexed="8"/>
      <name val="Arial CE"/>
    </font>
    <font>
      <sz val="8"/>
      <color indexed="8"/>
      <name val="Arial CE"/>
    </font>
    <font>
      <sz val="10"/>
      <color indexed="8"/>
      <name val="Arial CE"/>
      <family val="2"/>
    </font>
    <font>
      <b/>
      <sz val="8"/>
      <color indexed="8"/>
      <name val="Arial CE"/>
      <charset val="238"/>
    </font>
    <font>
      <sz val="9"/>
      <color indexed="8"/>
      <name val="Arial CE"/>
      <family val="2"/>
    </font>
    <font>
      <sz val="8"/>
      <color indexed="8"/>
      <name val="Arial CE"/>
      <family val="2"/>
    </font>
    <font>
      <sz val="10"/>
      <name val="Arial"/>
      <family val="2"/>
      <charset val="238"/>
    </font>
    <font>
      <b/>
      <sz val="10"/>
      <color indexed="8"/>
      <name val="Arial CE"/>
      <family val="2"/>
    </font>
    <font>
      <b/>
      <sz val="8"/>
      <color indexed="8"/>
      <name val="Arial CE"/>
      <family val="2"/>
    </font>
    <font>
      <sz val="12"/>
      <name val="MS Sans Serif"/>
      <family val="2"/>
      <charset val="238"/>
    </font>
    <font>
      <sz val="11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9"/>
      <name val="MS Sans Serif"/>
      <family val="2"/>
      <charset val="238"/>
    </font>
    <font>
      <b/>
      <sz val="7"/>
      <name val="MS Sans Serif"/>
      <family val="2"/>
    </font>
    <font>
      <sz val="7"/>
      <name val="MS Sans Serif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9"/>
      <name val="MS Sans Serif"/>
      <family val="2"/>
      <charset val="238"/>
    </font>
    <font>
      <b/>
      <u/>
      <sz val="10"/>
      <name val="MS Sans Serif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Helvetica"/>
      <family val="2"/>
    </font>
    <font>
      <sz val="12"/>
      <name val="Helvetica"/>
      <family val="2"/>
    </font>
    <font>
      <b/>
      <sz val="12"/>
      <name val="Helvetica"/>
      <family val="2"/>
    </font>
    <font>
      <b/>
      <sz val="10"/>
      <name val="Helvetica"/>
      <family val="2"/>
    </font>
    <font>
      <b/>
      <sz val="14"/>
      <name val="Helvetica"/>
      <family val="2"/>
    </font>
    <font>
      <sz val="14"/>
      <name val="Helvetica"/>
      <family val="2"/>
    </font>
    <font>
      <sz val="11"/>
      <name val="Helvetica"/>
      <family val="2"/>
    </font>
    <font>
      <i/>
      <sz val="14"/>
      <name val="Helvetica"/>
      <family val="2"/>
    </font>
    <font>
      <sz val="7"/>
      <name val="MS Sans Serif"/>
      <family val="2"/>
      <charset val="238"/>
    </font>
    <font>
      <b/>
      <sz val="11"/>
      <name val="Arial"/>
      <family val="2"/>
      <charset val="238"/>
    </font>
    <font>
      <sz val="8.5"/>
      <name val="MS Sans Serif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u/>
      <sz val="10"/>
      <name val="MS Sans Serif"/>
      <family val="2"/>
      <charset val="238"/>
    </font>
    <font>
      <b/>
      <sz val="10"/>
      <name val="Helvetica"/>
      <charset val="238"/>
    </font>
    <font>
      <b/>
      <sz val="12"/>
      <name val="Helvetica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MS Sans Serif"/>
      <family val="2"/>
    </font>
    <font>
      <sz val="10"/>
      <name val="Helvetica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name val="Helvetica"/>
      <charset val="238"/>
    </font>
    <font>
      <sz val="10"/>
      <color theme="0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sz val="10"/>
      <color theme="0"/>
      <name val="MS Sans Serif"/>
      <family val="2"/>
      <charset val="238"/>
    </font>
    <font>
      <sz val="10"/>
      <color theme="0"/>
      <name val="MS Sans Serif"/>
      <family val="2"/>
    </font>
    <font>
      <b/>
      <sz val="10"/>
      <color theme="0"/>
      <name val="MS Sans Serif"/>
      <family val="2"/>
      <charset val="238"/>
    </font>
    <font>
      <b/>
      <i/>
      <sz val="12"/>
      <color theme="0"/>
      <name val="MS Sans Serif"/>
      <family val="2"/>
    </font>
    <font>
      <b/>
      <sz val="12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i/>
      <sz val="12"/>
      <color theme="0"/>
      <name val="MS Sans Serif"/>
      <family val="2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8"/>
      <name val="Helvetica"/>
      <charset val="238"/>
    </font>
    <font>
      <b/>
      <sz val="7"/>
      <name val="MS Sans Serif"/>
    </font>
    <font>
      <sz val="7"/>
      <name val="MS Sans Serif"/>
    </font>
    <font>
      <sz val="10"/>
      <name val="MS Sans Serif"/>
    </font>
    <font>
      <b/>
      <sz val="12"/>
      <name val="MS Sans Serif"/>
      <charset val="238"/>
    </font>
    <font>
      <b/>
      <sz val="10"/>
      <name val="MS Sans Serif"/>
      <charset val="238"/>
    </font>
    <font>
      <b/>
      <sz val="12"/>
      <name val="MS Sans Serif"/>
    </font>
    <font>
      <u/>
      <sz val="7"/>
      <name val="MS Sans Serif"/>
    </font>
    <font>
      <b/>
      <u/>
      <sz val="7"/>
      <name val="MS Sans Serif"/>
    </font>
    <font>
      <u/>
      <sz val="10"/>
      <name val="MS Sans Serif"/>
    </font>
    <font>
      <b/>
      <sz val="10"/>
      <name val="MS Sans Serif"/>
    </font>
    <font>
      <b/>
      <sz val="8.5"/>
      <name val="MS Sans Serif"/>
    </font>
    <font>
      <b/>
      <sz val="6"/>
      <name val="MS Sans Serif"/>
      <family val="2"/>
      <charset val="238"/>
    </font>
    <font>
      <sz val="9"/>
      <color indexed="8"/>
      <name val="Arial CE"/>
      <charset val="238"/>
    </font>
    <font>
      <sz val="10"/>
      <color rgb="FFFF0000"/>
      <name val="MS Sans Serif"/>
      <charset val="238"/>
    </font>
    <font>
      <sz val="9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7"/>
      <name val="Cambria"/>
      <family val="1"/>
      <charset val="238"/>
    </font>
    <font>
      <sz val="10"/>
      <name val="Cambria"/>
      <family val="1"/>
      <charset val="238"/>
    </font>
    <font>
      <b/>
      <sz val="7"/>
      <name val="Cambria"/>
      <family val="1"/>
      <charset val="238"/>
    </font>
    <font>
      <b/>
      <sz val="10"/>
      <name val="Cambria"/>
      <family val="1"/>
      <charset val="238"/>
    </font>
    <font>
      <u/>
      <sz val="10"/>
      <name val="Cambria"/>
      <family val="1"/>
      <charset val="238"/>
    </font>
    <font>
      <b/>
      <u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3" fillId="0" borderId="0"/>
    <xf numFmtId="0" fontId="10" fillId="0" borderId="0"/>
    <xf numFmtId="166" fontId="2" fillId="0" borderId="0" applyNumberFormat="0" applyFont="0" applyFill="0" applyBorder="0" applyAlignment="0" applyProtection="0"/>
  </cellStyleXfs>
  <cellXfs count="2162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0" fontId="12" fillId="0" borderId="0" xfId="0" applyFont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15" fillId="0" borderId="0" xfId="0" applyFont="1"/>
    <xf numFmtId="169" fontId="1" fillId="0" borderId="0" xfId="0" applyNumberFormat="1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/>
    <xf numFmtId="0" fontId="17" fillId="0" borderId="0" xfId="0" applyFo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6" fillId="0" borderId="0" xfId="0" applyFont="1"/>
    <xf numFmtId="0" fontId="16" fillId="2" borderId="0" xfId="0" applyFont="1" applyFill="1"/>
    <xf numFmtId="0" fontId="6" fillId="0" borderId="0" xfId="0" applyFont="1" applyAlignment="1">
      <alignment horizontal="left"/>
    </xf>
    <xf numFmtId="165" fontId="20" fillId="0" borderId="0" xfId="0" applyNumberFormat="1" applyFont="1"/>
    <xf numFmtId="0" fontId="19" fillId="0" borderId="0" xfId="0" applyFont="1"/>
    <xf numFmtId="0" fontId="11" fillId="0" borderId="0" xfId="0" applyFont="1"/>
    <xf numFmtId="0" fontId="9" fillId="0" borderId="0" xfId="0" applyFont="1"/>
    <xf numFmtId="1" fontId="26" fillId="0" borderId="8" xfId="3" applyNumberFormat="1" applyFont="1" applyBorder="1"/>
    <xf numFmtId="1" fontId="26" fillId="0" borderId="9" xfId="3" applyNumberFormat="1" applyFont="1" applyBorder="1"/>
    <xf numFmtId="1" fontId="29" fillId="0" borderId="9" xfId="3" applyNumberFormat="1" applyFont="1" applyBorder="1"/>
    <xf numFmtId="1" fontId="26" fillId="0" borderId="10" xfId="3" applyNumberFormat="1" applyFont="1" applyBorder="1"/>
    <xf numFmtId="1" fontId="26" fillId="0" borderId="11" xfId="3" applyNumberFormat="1" applyFont="1" applyBorder="1"/>
    <xf numFmtId="1" fontId="27" fillId="0" borderId="12" xfId="3" applyNumberFormat="1" applyFont="1" applyBorder="1"/>
    <xf numFmtId="1" fontId="27" fillId="0" borderId="13" xfId="3" applyNumberFormat="1" applyFont="1" applyBorder="1"/>
    <xf numFmtId="1" fontId="26" fillId="0" borderId="14" xfId="3" applyNumberFormat="1" applyFont="1" applyBorder="1"/>
    <xf numFmtId="1" fontId="27" fillId="0" borderId="5" xfId="3" applyNumberFormat="1" applyFont="1" applyBorder="1"/>
    <xf numFmtId="1" fontId="27" fillId="0" borderId="15" xfId="3" applyNumberFormat="1" applyFont="1" applyBorder="1"/>
    <xf numFmtId="1" fontId="30" fillId="0" borderId="16" xfId="3" applyNumberFormat="1" applyFont="1" applyBorder="1"/>
    <xf numFmtId="1" fontId="23" fillId="0" borderId="11" xfId="3" applyNumberFormat="1" applyBorder="1"/>
    <xf numFmtId="1" fontId="33" fillId="0" borderId="17" xfId="3" applyNumberFormat="1" applyFont="1" applyBorder="1"/>
    <xf numFmtId="1" fontId="33" fillId="0" borderId="8" xfId="3" applyNumberFormat="1" applyFont="1" applyBorder="1"/>
    <xf numFmtId="1" fontId="33" fillId="0" borderId="16" xfId="3" applyNumberFormat="1" applyFont="1" applyBorder="1"/>
    <xf numFmtId="1" fontId="28" fillId="0" borderId="16" xfId="3" applyNumberFormat="1" applyFont="1" applyBorder="1"/>
    <xf numFmtId="1" fontId="33" fillId="0" borderId="18" xfId="3" applyNumberFormat="1" applyFont="1" applyBorder="1"/>
    <xf numFmtId="1" fontId="28" fillId="0" borderId="19" xfId="3" applyNumberFormat="1" applyFont="1" applyBorder="1"/>
    <xf numFmtId="1" fontId="28" fillId="0" borderId="11" xfId="3" applyNumberFormat="1" applyFont="1" applyBorder="1"/>
    <xf numFmtId="0" fontId="0" fillId="0" borderId="16" xfId="0" applyBorder="1"/>
    <xf numFmtId="169" fontId="0" fillId="0" borderId="0" xfId="0" applyNumberFormat="1"/>
    <xf numFmtId="0" fontId="7" fillId="0" borderId="0" xfId="0" applyFont="1"/>
    <xf numFmtId="0" fontId="0" fillId="0" borderId="14" xfId="0" applyBorder="1"/>
    <xf numFmtId="0" fontId="8" fillId="0" borderId="14" xfId="0" applyFont="1" applyBorder="1" applyAlignment="1">
      <alignment wrapText="1"/>
    </xf>
    <xf numFmtId="0" fontId="8" fillId="0" borderId="0" xfId="0" applyFont="1"/>
    <xf numFmtId="169" fontId="7" fillId="0" borderId="0" xfId="0" applyNumberFormat="1" applyFont="1"/>
    <xf numFmtId="0" fontId="0" fillId="0" borderId="20" xfId="0" applyBorder="1"/>
    <xf numFmtId="0" fontId="0" fillId="0" borderId="15" xfId="0" applyBorder="1"/>
    <xf numFmtId="0" fontId="0" fillId="0" borderId="23" xfId="0" applyBorder="1"/>
    <xf numFmtId="0" fontId="0" fillId="0" borderId="12" xfId="0" applyBorder="1"/>
    <xf numFmtId="0" fontId="0" fillId="0" borderId="24" xfId="0" applyBorder="1"/>
    <xf numFmtId="0" fontId="8" fillId="0" borderId="16" xfId="0" applyFont="1" applyBorder="1" applyAlignment="1">
      <alignment wrapText="1"/>
    </xf>
    <xf numFmtId="0" fontId="8" fillId="0" borderId="4" xfId="0" applyFont="1" applyBorder="1"/>
    <xf numFmtId="0" fontId="8" fillId="0" borderId="3" xfId="0" applyFont="1" applyBorder="1"/>
    <xf numFmtId="0" fontId="0" fillId="0" borderId="27" xfId="0" applyBorder="1"/>
    <xf numFmtId="0" fontId="0" fillId="0" borderId="25" xfId="0" applyBorder="1"/>
    <xf numFmtId="0" fontId="8" fillId="0" borderId="24" xfId="0" applyFont="1" applyBorder="1" applyAlignment="1">
      <alignment wrapText="1"/>
    </xf>
    <xf numFmtId="0" fontId="0" fillId="0" borderId="11" xfId="0" applyBorder="1"/>
    <xf numFmtId="0" fontId="37" fillId="0" borderId="14" xfId="0" applyFont="1" applyBorder="1"/>
    <xf numFmtId="0" fontId="37" fillId="0" borderId="14" xfId="0" applyFont="1" applyBorder="1" applyAlignment="1">
      <alignment wrapText="1"/>
    </xf>
    <xf numFmtId="168" fontId="39" fillId="0" borderId="4" xfId="5" applyNumberFormat="1" applyFont="1" applyBorder="1" applyAlignment="1">
      <alignment horizontal="center" vertical="center" wrapText="1"/>
    </xf>
    <xf numFmtId="0" fontId="41" fillId="0" borderId="0" xfId="0" applyFont="1"/>
    <xf numFmtId="0" fontId="36" fillId="0" borderId="0" xfId="0" applyFont="1"/>
    <xf numFmtId="0" fontId="35" fillId="0" borderId="0" xfId="0" applyFont="1"/>
    <xf numFmtId="0" fontId="42" fillId="0" borderId="0" xfId="0" applyFont="1"/>
    <xf numFmtId="0" fontId="43" fillId="0" borderId="0" xfId="0" applyFont="1"/>
    <xf numFmtId="170" fontId="0" fillId="0" borderId="0" xfId="0" applyNumberFormat="1"/>
    <xf numFmtId="170" fontId="2" fillId="0" borderId="2" xfId="0" applyNumberFormat="1" applyFont="1" applyBorder="1"/>
    <xf numFmtId="170" fontId="7" fillId="0" borderId="2" xfId="0" applyNumberFormat="1" applyFont="1" applyBorder="1"/>
    <xf numFmtId="170" fontId="0" fillId="0" borderId="2" xfId="0" applyNumberFormat="1" applyBorder="1"/>
    <xf numFmtId="170" fontId="7" fillId="0" borderId="0" xfId="0" applyNumberFormat="1" applyFont="1" applyAlignment="1">
      <alignment horizontal="right"/>
    </xf>
    <xf numFmtId="1" fontId="36" fillId="0" borderId="0" xfId="0" applyNumberFormat="1" applyFont="1"/>
    <xf numFmtId="0" fontId="21" fillId="0" borderId="0" xfId="0" applyFont="1" applyAlignment="1">
      <alignment horizontal="left"/>
    </xf>
    <xf numFmtId="0" fontId="47" fillId="0" borderId="0" xfId="0" applyFont="1"/>
    <xf numFmtId="0" fontId="49" fillId="0" borderId="0" xfId="0" applyFont="1"/>
    <xf numFmtId="0" fontId="48" fillId="0" borderId="30" xfId="0" applyFont="1" applyBorder="1"/>
    <xf numFmtId="0" fontId="46" fillId="0" borderId="0" xfId="0" applyFont="1"/>
    <xf numFmtId="165" fontId="46" fillId="0" borderId="0" xfId="0" applyNumberFormat="1" applyFont="1"/>
    <xf numFmtId="0" fontId="48" fillId="0" borderId="0" xfId="0" applyFont="1"/>
    <xf numFmtId="0" fontId="50" fillId="0" borderId="0" xfId="0" applyFont="1"/>
    <xf numFmtId="169" fontId="50" fillId="0" borderId="0" xfId="0" applyNumberFormat="1" applyFont="1"/>
    <xf numFmtId="0" fontId="48" fillId="0" borderId="31" xfId="0" applyFont="1" applyBorder="1"/>
    <xf numFmtId="0" fontId="50" fillId="0" borderId="32" xfId="0" applyFont="1" applyBorder="1"/>
    <xf numFmtId="0" fontId="50" fillId="0" borderId="31" xfId="0" applyFont="1" applyBorder="1"/>
    <xf numFmtId="165" fontId="50" fillId="0" borderId="0" xfId="0" applyNumberFormat="1" applyFont="1"/>
    <xf numFmtId="0" fontId="52" fillId="0" borderId="33" xfId="0" applyFont="1" applyBorder="1"/>
    <xf numFmtId="0" fontId="52" fillId="0" borderId="34" xfId="0" applyFont="1" applyBorder="1" applyAlignment="1">
      <alignment horizontal="center"/>
    </xf>
    <xf numFmtId="0" fontId="53" fillId="0" borderId="35" xfId="0" applyFont="1" applyBorder="1"/>
    <xf numFmtId="0" fontId="52" fillId="0" borderId="34" xfId="0" applyFont="1" applyBorder="1"/>
    <xf numFmtId="0" fontId="52" fillId="0" borderId="27" xfId="0" applyFont="1" applyBorder="1"/>
    <xf numFmtId="0" fontId="52" fillId="0" borderId="0" xfId="0" applyFont="1"/>
    <xf numFmtId="0" fontId="48" fillId="0" borderId="36" xfId="0" applyFont="1" applyBorder="1"/>
    <xf numFmtId="0" fontId="54" fillId="0" borderId="0" xfId="0" applyFont="1"/>
    <xf numFmtId="0" fontId="55" fillId="0" borderId="0" xfId="0" applyFont="1"/>
    <xf numFmtId="164" fontId="56" fillId="0" borderId="0" xfId="0" applyNumberFormat="1" applyFont="1"/>
    <xf numFmtId="164" fontId="57" fillId="0" borderId="0" xfId="0" applyNumberFormat="1" applyFont="1"/>
    <xf numFmtId="0" fontId="59" fillId="0" borderId="0" xfId="0" applyFont="1"/>
    <xf numFmtId="164" fontId="60" fillId="0" borderId="0" xfId="0" applyNumberFormat="1" applyFont="1"/>
    <xf numFmtId="164" fontId="54" fillId="0" borderId="0" xfId="0" applyNumberFormat="1" applyFont="1"/>
    <xf numFmtId="0" fontId="61" fillId="0" borderId="0" xfId="0" applyFont="1"/>
    <xf numFmtId="168" fontId="39" fillId="0" borderId="23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7" xfId="0" applyBorder="1" applyAlignment="1">
      <alignment horizontal="center"/>
    </xf>
    <xf numFmtId="0" fontId="7" fillId="0" borderId="27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25" xfId="0" applyFont="1" applyBorder="1"/>
    <xf numFmtId="0" fontId="0" fillId="0" borderId="23" xfId="0" applyBorder="1" applyAlignment="1">
      <alignment horizontal="center"/>
    </xf>
    <xf numFmtId="0" fontId="0" fillId="0" borderId="40" xfId="0" applyBorder="1"/>
    <xf numFmtId="0" fontId="8" fillId="0" borderId="3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1" xfId="0" applyBorder="1"/>
    <xf numFmtId="0" fontId="7" fillId="0" borderId="4" xfId="0" applyFont="1" applyBorder="1" applyAlignment="1">
      <alignment horizontal="center" wrapText="1"/>
    </xf>
    <xf numFmtId="0" fontId="0" fillId="0" borderId="43" xfId="0" applyBorder="1"/>
    <xf numFmtId="0" fontId="62" fillId="0" borderId="0" xfId="0" applyFont="1"/>
    <xf numFmtId="0" fontId="40" fillId="0" borderId="0" xfId="0" applyFont="1"/>
    <xf numFmtId="3" fontId="0" fillId="0" borderId="4" xfId="0" applyNumberFormat="1" applyBorder="1"/>
    <xf numFmtId="3" fontId="0" fillId="0" borderId="43" xfId="0" applyNumberFormat="1" applyBorder="1"/>
    <xf numFmtId="3" fontId="7" fillId="0" borderId="26" xfId="0" applyNumberFormat="1" applyFont="1" applyBorder="1"/>
    <xf numFmtId="0" fontId="9" fillId="0" borderId="30" xfId="0" applyFont="1" applyBorder="1"/>
    <xf numFmtId="0" fontId="0" fillId="0" borderId="44" xfId="0" applyBorder="1"/>
    <xf numFmtId="0" fontId="55" fillId="0" borderId="44" xfId="0" applyFont="1" applyBorder="1"/>
    <xf numFmtId="0" fontId="54" fillId="0" borderId="44" xfId="0" applyFont="1" applyBorder="1"/>
    <xf numFmtId="0" fontId="59" fillId="0" borderId="44" xfId="0" applyFont="1" applyBorder="1"/>
    <xf numFmtId="0" fontId="56" fillId="0" borderId="33" xfId="0" applyFont="1" applyBorder="1" applyAlignment="1">
      <alignment horizontal="left"/>
    </xf>
    <xf numFmtId="0" fontId="56" fillId="0" borderId="44" xfId="0" quotePrefix="1" applyFont="1" applyBorder="1" applyAlignment="1">
      <alignment horizontal="left"/>
    </xf>
    <xf numFmtId="0" fontId="54" fillId="0" borderId="16" xfId="0" applyFont="1" applyBorder="1"/>
    <xf numFmtId="0" fontId="54" fillId="0" borderId="11" xfId="0" applyFont="1" applyBorder="1"/>
    <xf numFmtId="0" fontId="56" fillId="0" borderId="33" xfId="0" applyFont="1" applyBorder="1"/>
    <xf numFmtId="0" fontId="58" fillId="0" borderId="31" xfId="0" applyFont="1" applyBorder="1"/>
    <xf numFmtId="0" fontId="59" fillId="0" borderId="30" xfId="0" applyFont="1" applyBorder="1"/>
    <xf numFmtId="0" fontId="55" fillId="0" borderId="30" xfId="0" applyFont="1" applyBorder="1"/>
    <xf numFmtId="0" fontId="53" fillId="0" borderId="44" xfId="0" applyFont="1" applyBorder="1" applyAlignment="1">
      <alignment wrapText="1"/>
    </xf>
    <xf numFmtId="0" fontId="48" fillId="0" borderId="44" xfId="0" applyFont="1" applyBorder="1" applyAlignment="1">
      <alignment horizontal="left"/>
    </xf>
    <xf numFmtId="0" fontId="50" fillId="0" borderId="20" xfId="0" applyFont="1" applyBorder="1"/>
    <xf numFmtId="0" fontId="11" fillId="2" borderId="44" xfId="0" applyFont="1" applyFill="1" applyBorder="1"/>
    <xf numFmtId="0" fontId="11" fillId="2" borderId="20" xfId="0" applyFont="1" applyFill="1" applyBorder="1"/>
    <xf numFmtId="0" fontId="4" fillId="0" borderId="44" xfId="0" applyFont="1" applyBorder="1"/>
    <xf numFmtId="0" fontId="4" fillId="0" borderId="20" xfId="0" applyFont="1" applyBorder="1"/>
    <xf numFmtId="0" fontId="9" fillId="0" borderId="16" xfId="0" applyFont="1" applyBorder="1"/>
    <xf numFmtId="170" fontId="0" fillId="0" borderId="44" xfId="0" applyNumberFormat="1" applyBorder="1"/>
    <xf numFmtId="170" fontId="0" fillId="0" borderId="20" xfId="0" applyNumberFormat="1" applyBorder="1"/>
    <xf numFmtId="170" fontId="2" fillId="0" borderId="27" xfId="0" applyNumberFormat="1" applyFont="1" applyBorder="1"/>
    <xf numFmtId="170" fontId="0" fillId="0" borderId="37" xfId="0" applyNumberFormat="1" applyBorder="1"/>
    <xf numFmtId="170" fontId="0" fillId="0" borderId="36" xfId="0" applyNumberFormat="1" applyBorder="1"/>
    <xf numFmtId="170" fontId="0" fillId="0" borderId="45" xfId="0" applyNumberFormat="1" applyBorder="1"/>
    <xf numFmtId="170" fontId="7" fillId="0" borderId="0" xfId="0" applyNumberFormat="1" applyFont="1"/>
    <xf numFmtId="170" fontId="7" fillId="0" borderId="20" xfId="0" applyNumberFormat="1" applyFont="1" applyBorder="1" applyAlignment="1">
      <alignment horizontal="right"/>
    </xf>
    <xf numFmtId="169" fontId="38" fillId="0" borderId="46" xfId="0" applyNumberFormat="1" applyFont="1" applyBorder="1"/>
    <xf numFmtId="169" fontId="0" fillId="0" borderId="47" xfId="0" applyNumberFormat="1" applyBorder="1"/>
    <xf numFmtId="169" fontId="0" fillId="0" borderId="48" xfId="0" applyNumberFormat="1" applyBorder="1"/>
    <xf numFmtId="169" fontId="0" fillId="0" borderId="36" xfId="0" applyNumberFormat="1" applyBorder="1"/>
    <xf numFmtId="169" fontId="7" fillId="0" borderId="45" xfId="0" applyNumberFormat="1" applyFont="1" applyBorder="1" applyAlignment="1">
      <alignment horizontal="right"/>
    </xf>
    <xf numFmtId="169" fontId="0" fillId="0" borderId="44" xfId="0" applyNumberFormat="1" applyBorder="1"/>
    <xf numFmtId="169" fontId="7" fillId="0" borderId="20" xfId="0" applyNumberFormat="1" applyFont="1" applyBorder="1" applyAlignment="1">
      <alignment horizontal="right"/>
    </xf>
    <xf numFmtId="169" fontId="7" fillId="0" borderId="47" xfId="0" applyNumberFormat="1" applyFont="1" applyBorder="1"/>
    <xf numFmtId="0" fontId="21" fillId="0" borderId="44" xfId="0" applyFont="1" applyBorder="1" applyAlignment="1">
      <alignment horizontal="left"/>
    </xf>
    <xf numFmtId="0" fontId="21" fillId="0" borderId="20" xfId="0" applyFont="1" applyBorder="1" applyAlignment="1">
      <alignment horizontal="left"/>
    </xf>
    <xf numFmtId="1" fontId="24" fillId="0" borderId="44" xfId="3" applyNumberFormat="1" applyFont="1" applyBorder="1"/>
    <xf numFmtId="1" fontId="24" fillId="0" borderId="0" xfId="3" applyNumberFormat="1" applyFont="1"/>
    <xf numFmtId="1" fontId="25" fillId="0" borderId="0" xfId="3" applyNumberFormat="1" applyFont="1"/>
    <xf numFmtId="1" fontId="26" fillId="0" borderId="0" xfId="3" applyNumberFormat="1" applyFont="1"/>
    <xf numFmtId="1" fontId="22" fillId="0" borderId="0" xfId="3" applyNumberFormat="1" applyFont="1"/>
    <xf numFmtId="1" fontId="27" fillId="0" borderId="0" xfId="3" applyNumberFormat="1" applyFont="1"/>
    <xf numFmtId="1" fontId="28" fillId="0" borderId="0" xfId="3" applyNumberFormat="1" applyFont="1"/>
    <xf numFmtId="1" fontId="22" fillId="0" borderId="20" xfId="3" applyNumberFormat="1" applyFont="1" applyBorder="1"/>
    <xf numFmtId="0" fontId="0" fillId="0" borderId="48" xfId="0" applyBorder="1"/>
    <xf numFmtId="164" fontId="0" fillId="0" borderId="0" xfId="0" applyNumberFormat="1"/>
    <xf numFmtId="0" fontId="64" fillId="0" borderId="44" xfId="0" applyFont="1" applyBorder="1"/>
    <xf numFmtId="0" fontId="64" fillId="0" borderId="0" xfId="0" applyFont="1"/>
    <xf numFmtId="170" fontId="56" fillId="0" borderId="30" xfId="0" applyNumberFormat="1" applyFont="1" applyBorder="1"/>
    <xf numFmtId="170" fontId="52" fillId="0" borderId="2" xfId="0" applyNumberFormat="1" applyFont="1" applyBorder="1" applyAlignment="1">
      <alignment horizontal="left"/>
    </xf>
    <xf numFmtId="170" fontId="48" fillId="0" borderId="45" xfId="0" applyNumberFormat="1" applyFont="1" applyBorder="1" applyAlignment="1">
      <alignment horizontal="right"/>
    </xf>
    <xf numFmtId="170" fontId="48" fillId="0" borderId="32" xfId="0" applyNumberFormat="1" applyFont="1" applyBorder="1" applyAlignment="1">
      <alignment horizontal="right"/>
    </xf>
    <xf numFmtId="170" fontId="52" fillId="0" borderId="0" xfId="0" applyNumberFormat="1" applyFont="1" applyAlignment="1">
      <alignment horizontal="left"/>
    </xf>
    <xf numFmtId="170" fontId="51" fillId="0" borderId="30" xfId="0" applyNumberFormat="1" applyFont="1" applyBorder="1" applyAlignment="1">
      <alignment horizontal="left"/>
    </xf>
    <xf numFmtId="170" fontId="48" fillId="0" borderId="30" xfId="0" applyNumberFormat="1" applyFont="1" applyBorder="1" applyAlignment="1">
      <alignment horizontal="left"/>
    </xf>
    <xf numFmtId="170" fontId="50" fillId="0" borderId="30" xfId="0" applyNumberFormat="1" applyFont="1" applyBorder="1" applyAlignment="1">
      <alignment horizontal="left"/>
    </xf>
    <xf numFmtId="1" fontId="53" fillId="0" borderId="0" xfId="0" applyNumberFormat="1" applyFont="1" applyAlignment="1">
      <alignment horizontal="right"/>
    </xf>
    <xf numFmtId="1" fontId="53" fillId="0" borderId="0" xfId="0" applyNumberFormat="1" applyFont="1" applyAlignment="1">
      <alignment horizontal="right" wrapText="1"/>
    </xf>
    <xf numFmtId="170" fontId="0" fillId="0" borderId="4" xfId="0" applyNumberFormat="1" applyBorder="1" applyAlignment="1">
      <alignment horizontal="right"/>
    </xf>
    <xf numFmtId="170" fontId="0" fillId="0" borderId="12" xfId="0" applyNumberFormat="1" applyBorder="1"/>
    <xf numFmtId="170" fontId="0" fillId="0" borderId="23" xfId="0" applyNumberFormat="1" applyBorder="1" applyAlignment="1">
      <alignment horizontal="right"/>
    </xf>
    <xf numFmtId="1" fontId="0" fillId="0" borderId="0" xfId="0" applyNumberFormat="1"/>
    <xf numFmtId="1" fontId="13" fillId="0" borderId="20" xfId="0" applyNumberFormat="1" applyFont="1" applyBorder="1"/>
    <xf numFmtId="1" fontId="14" fillId="0" borderId="20" xfId="0" applyNumberFormat="1" applyFont="1" applyBorder="1"/>
    <xf numFmtId="1" fontId="44" fillId="0" borderId="44" xfId="0" quotePrefix="1" applyNumberFormat="1" applyFont="1" applyBorder="1" applyAlignment="1">
      <alignment horizontal="left"/>
    </xf>
    <xf numFmtId="1" fontId="38" fillId="0" borderId="24" xfId="0" applyNumberFormat="1" applyFont="1" applyBorder="1"/>
    <xf numFmtId="1" fontId="7" fillId="0" borderId="3" xfId="0" applyNumberFormat="1" applyFont="1" applyBorder="1"/>
    <xf numFmtId="1" fontId="38" fillId="0" borderId="49" xfId="0" applyNumberFormat="1" applyFont="1" applyBorder="1"/>
    <xf numFmtId="1" fontId="7" fillId="0" borderId="50" xfId="0" applyNumberFormat="1" applyFont="1" applyBorder="1"/>
    <xf numFmtId="1" fontId="0" fillId="0" borderId="50" xfId="0" applyNumberFormat="1" applyBorder="1"/>
    <xf numFmtId="1" fontId="38" fillId="0" borderId="44" xfId="0" applyNumberFormat="1" applyFont="1" applyBorder="1"/>
    <xf numFmtId="1" fontId="0" fillId="0" borderId="20" xfId="0" applyNumberFormat="1" applyBorder="1"/>
    <xf numFmtId="1" fontId="38" fillId="0" borderId="48" xfId="0" applyNumberFormat="1" applyFont="1" applyBorder="1"/>
    <xf numFmtId="1" fontId="0" fillId="0" borderId="36" xfId="0" applyNumberFormat="1" applyBorder="1"/>
    <xf numFmtId="170" fontId="0" fillId="0" borderId="47" xfId="0" applyNumberFormat="1" applyBorder="1"/>
    <xf numFmtId="170" fontId="7" fillId="0" borderId="38" xfId="0" applyNumberFormat="1" applyFont="1" applyBorder="1" applyAlignment="1">
      <alignment horizontal="right"/>
    </xf>
    <xf numFmtId="170" fontId="7" fillId="0" borderId="45" xfId="0" applyNumberFormat="1" applyFont="1" applyBorder="1" applyAlignment="1">
      <alignment horizontal="right"/>
    </xf>
    <xf numFmtId="170" fontId="7" fillId="0" borderId="47" xfId="0" applyNumberFormat="1" applyFont="1" applyBorder="1"/>
    <xf numFmtId="170" fontId="8" fillId="0" borderId="0" xfId="0" applyNumberFormat="1" applyFont="1" applyAlignment="1">
      <alignment horizontal="right"/>
    </xf>
    <xf numFmtId="170" fontId="8" fillId="0" borderId="36" xfId="0" applyNumberFormat="1" applyFont="1" applyBorder="1" applyAlignment="1">
      <alignment horizontal="right"/>
    </xf>
    <xf numFmtId="170" fontId="8" fillId="0" borderId="36" xfId="0" applyNumberFormat="1" applyFont="1" applyBorder="1"/>
    <xf numFmtId="1" fontId="8" fillId="0" borderId="0" xfId="0" applyNumberFormat="1" applyFont="1"/>
    <xf numFmtId="1" fontId="37" fillId="0" borderId="0" xfId="0" applyNumberFormat="1" applyFont="1"/>
    <xf numFmtId="1" fontId="41" fillId="0" borderId="0" xfId="0" applyNumberFormat="1" applyFont="1"/>
    <xf numFmtId="1" fontId="0" fillId="0" borderId="0" xfId="0" applyNumberFormat="1" applyAlignment="1">
      <alignment horizontal="right"/>
    </xf>
    <xf numFmtId="1" fontId="21" fillId="0" borderId="0" xfId="0" applyNumberFormat="1" applyFont="1" applyAlignment="1">
      <alignment horizontal="left"/>
    </xf>
    <xf numFmtId="1" fontId="21" fillId="0" borderId="20" xfId="0" applyNumberFormat="1" applyFont="1" applyBorder="1" applyAlignment="1">
      <alignment horizontal="left"/>
    </xf>
    <xf numFmtId="0" fontId="54" fillId="0" borderId="54" xfId="0" applyFont="1" applyBorder="1"/>
    <xf numFmtId="170" fontId="0" fillId="0" borderId="56" xfId="0" applyNumberFormat="1" applyBorder="1"/>
    <xf numFmtId="170" fontId="0" fillId="0" borderId="48" xfId="0" applyNumberFormat="1" applyBorder="1"/>
    <xf numFmtId="1" fontId="7" fillId="0" borderId="4" xfId="0" applyNumberFormat="1" applyFont="1" applyBorder="1"/>
    <xf numFmtId="1" fontId="7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0" fontId="0" fillId="0" borderId="36" xfId="0" applyBorder="1"/>
    <xf numFmtId="0" fontId="7" fillId="0" borderId="2" xfId="0" applyFont="1" applyBorder="1"/>
    <xf numFmtId="1" fontId="7" fillId="3" borderId="52" xfId="0" applyNumberFormat="1" applyFont="1" applyFill="1" applyBorder="1"/>
    <xf numFmtId="0" fontId="37" fillId="3" borderId="26" xfId="0" applyFont="1" applyFill="1" applyBorder="1" applyAlignment="1">
      <alignment horizontal="center"/>
    </xf>
    <xf numFmtId="0" fontId="8" fillId="0" borderId="4" xfId="0" applyFont="1" applyBorder="1" applyAlignment="1">
      <alignment horizontal="right" wrapText="1"/>
    </xf>
    <xf numFmtId="0" fontId="0" fillId="0" borderId="29" xfId="0" applyBorder="1"/>
    <xf numFmtId="0" fontId="0" fillId="0" borderId="54" xfId="0" applyBorder="1"/>
    <xf numFmtId="0" fontId="7" fillId="0" borderId="18" xfId="0" applyFont="1" applyBorder="1"/>
    <xf numFmtId="0" fontId="0" fillId="0" borderId="22" xfId="0" applyBorder="1"/>
    <xf numFmtId="0" fontId="0" fillId="0" borderId="57" xfId="0" applyBorder="1"/>
    <xf numFmtId="0" fontId="0" fillId="0" borderId="28" xfId="0" applyBorder="1"/>
    <xf numFmtId="0" fontId="0" fillId="0" borderId="1" xfId="0" applyBorder="1"/>
    <xf numFmtId="0" fontId="0" fillId="0" borderId="38" xfId="0" applyBorder="1"/>
    <xf numFmtId="0" fontId="7" fillId="0" borderId="22" xfId="0" applyFont="1" applyBorder="1"/>
    <xf numFmtId="0" fontId="7" fillId="0" borderId="54" xfId="0" applyFont="1" applyBorder="1"/>
    <xf numFmtId="0" fontId="7" fillId="0" borderId="58" xfId="0" applyFont="1" applyBorder="1"/>
    <xf numFmtId="0" fontId="7" fillId="0" borderId="28" xfId="0" applyFont="1" applyBorder="1"/>
    <xf numFmtId="0" fontId="7" fillId="0" borderId="20" xfId="0" applyFont="1" applyBorder="1"/>
    <xf numFmtId="0" fontId="7" fillId="0" borderId="36" xfId="0" applyFont="1" applyBorder="1"/>
    <xf numFmtId="0" fontId="7" fillId="0" borderId="32" xfId="0" applyFont="1" applyBorder="1"/>
    <xf numFmtId="0" fontId="7" fillId="0" borderId="30" xfId="0" applyFont="1" applyBorder="1"/>
    <xf numFmtId="0" fontId="1" fillId="0" borderId="59" xfId="0" applyFont="1" applyBorder="1"/>
    <xf numFmtId="0" fontId="1" fillId="0" borderId="35" xfId="0" applyFont="1" applyBorder="1" applyAlignment="1">
      <alignment horizontal="center" wrapText="1"/>
    </xf>
    <xf numFmtId="0" fontId="0" fillId="0" borderId="6" xfId="0" applyBorder="1"/>
    <xf numFmtId="0" fontId="8" fillId="0" borderId="6" xfId="0" applyFont="1" applyBorder="1" applyAlignment="1">
      <alignment wrapText="1"/>
    </xf>
    <xf numFmtId="0" fontId="8" fillId="0" borderId="43" xfId="0" applyFont="1" applyBorder="1" applyAlignment="1">
      <alignment horizontal="center"/>
    </xf>
    <xf numFmtId="0" fontId="1" fillId="0" borderId="6" xfId="0" applyFont="1" applyBorder="1"/>
    <xf numFmtId="0" fontId="8" fillId="0" borderId="6" xfId="0" applyFont="1" applyBorder="1"/>
    <xf numFmtId="0" fontId="37" fillId="0" borderId="4" xfId="0" applyFont="1" applyBorder="1"/>
    <xf numFmtId="0" fontId="37" fillId="0" borderId="4" xfId="0" applyFont="1" applyBorder="1" applyAlignment="1">
      <alignment wrapText="1"/>
    </xf>
    <xf numFmtId="0" fontId="37" fillId="0" borderId="43" xfId="0" applyFont="1" applyBorder="1" applyAlignment="1">
      <alignment wrapText="1"/>
    </xf>
    <xf numFmtId="0" fontId="1" fillId="0" borderId="43" xfId="0" applyFont="1" applyBorder="1"/>
    <xf numFmtId="0" fontId="8" fillId="0" borderId="5" xfId="0" applyFont="1" applyBorder="1" applyAlignment="1">
      <alignment wrapText="1"/>
    </xf>
    <xf numFmtId="0" fontId="1" fillId="0" borderId="4" xfId="0" quotePrefix="1" applyFont="1" applyBorder="1" applyAlignment="1">
      <alignment horizontal="left"/>
    </xf>
    <xf numFmtId="0" fontId="9" fillId="0" borderId="0" xfId="0" applyFont="1" applyAlignment="1">
      <alignment horizontal="center" wrapText="1"/>
    </xf>
    <xf numFmtId="49" fontId="11" fillId="0" borderId="44" xfId="0" applyNumberFormat="1" applyFont="1" applyBorder="1"/>
    <xf numFmtId="49" fontId="0" fillId="0" borderId="44" xfId="0" applyNumberFormat="1" applyBorder="1"/>
    <xf numFmtId="49" fontId="0" fillId="0" borderId="0" xfId="0" applyNumberFormat="1"/>
    <xf numFmtId="49" fontId="7" fillId="0" borderId="0" xfId="0" applyNumberFormat="1" applyFont="1"/>
    <xf numFmtId="49" fontId="39" fillId="0" borderId="16" xfId="0" applyNumberFormat="1" applyFont="1" applyBorder="1" applyAlignment="1">
      <alignment horizontal="center" vertical="center" wrapText="1"/>
    </xf>
    <xf numFmtId="170" fontId="46" fillId="0" borderId="0" xfId="0" applyNumberFormat="1" applyFont="1"/>
    <xf numFmtId="170" fontId="44" fillId="0" borderId="0" xfId="0" applyNumberFormat="1" applyFont="1" applyAlignment="1">
      <alignment horizontal="left"/>
    </xf>
    <xf numFmtId="1" fontId="30" fillId="0" borderId="19" xfId="3" applyNumberFormat="1" applyFont="1" applyBorder="1"/>
    <xf numFmtId="0" fontId="0" fillId="0" borderId="19" xfId="0" applyBorder="1"/>
    <xf numFmtId="0" fontId="7" fillId="0" borderId="19" xfId="0" applyFont="1" applyBorder="1"/>
    <xf numFmtId="0" fontId="0" fillId="0" borderId="50" xfId="0" applyBorder="1"/>
    <xf numFmtId="0" fontId="0" fillId="0" borderId="7" xfId="0" applyBorder="1"/>
    <xf numFmtId="0" fontId="7" fillId="0" borderId="7" xfId="0" applyFont="1" applyBorder="1"/>
    <xf numFmtId="0" fontId="0" fillId="0" borderId="60" xfId="0" applyBorder="1"/>
    <xf numFmtId="0" fontId="7" fillId="0" borderId="61" xfId="0" applyFont="1" applyBorder="1"/>
    <xf numFmtId="0" fontId="8" fillId="0" borderId="7" xfId="0" applyFont="1" applyBorder="1"/>
    <xf numFmtId="0" fontId="8" fillId="0" borderId="60" xfId="0" applyFont="1" applyBorder="1"/>
    <xf numFmtId="0" fontId="8" fillId="0" borderId="62" xfId="0" applyFont="1" applyBorder="1" applyAlignment="1">
      <alignment horizontal="right"/>
    </xf>
    <xf numFmtId="3" fontId="0" fillId="0" borderId="62" xfId="0" applyNumberFormat="1" applyBorder="1"/>
    <xf numFmtId="0" fontId="0" fillId="0" borderId="62" xfId="0" applyBorder="1"/>
    <xf numFmtId="3" fontId="7" fillId="0" borderId="21" xfId="0" applyNumberFormat="1" applyFont="1" applyBorder="1"/>
    <xf numFmtId="3" fontId="7" fillId="0" borderId="30" xfId="0" applyNumberFormat="1" applyFont="1" applyBorder="1"/>
    <xf numFmtId="3" fontId="0" fillId="0" borderId="61" xfId="0" applyNumberFormat="1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12" xfId="0" applyNumberFormat="1" applyFont="1" applyBorder="1"/>
    <xf numFmtId="0" fontId="46" fillId="0" borderId="44" xfId="0" applyFont="1" applyBorder="1"/>
    <xf numFmtId="0" fontId="7" fillId="0" borderId="31" xfId="0" applyFont="1" applyBorder="1"/>
    <xf numFmtId="0" fontId="8" fillId="0" borderId="62" xfId="0" applyFont="1" applyBorder="1" applyAlignment="1">
      <alignment horizontal="right" wrapText="1"/>
    </xf>
    <xf numFmtId="3" fontId="7" fillId="0" borderId="64" xfId="0" applyNumberFormat="1" applyFont="1" applyBorder="1"/>
    <xf numFmtId="3" fontId="7" fillId="0" borderId="0" xfId="0" applyNumberFormat="1" applyFont="1"/>
    <xf numFmtId="0" fontId="7" fillId="0" borderId="2" xfId="0" applyFont="1" applyBorder="1" applyAlignment="1">
      <alignment horizontal="center"/>
    </xf>
    <xf numFmtId="0" fontId="7" fillId="0" borderId="6" xfId="0" applyFont="1" applyBorder="1"/>
    <xf numFmtId="3" fontId="9" fillId="0" borderId="18" xfId="0" applyNumberFormat="1" applyFont="1" applyBorder="1"/>
    <xf numFmtId="3" fontId="0" fillId="0" borderId="56" xfId="0" applyNumberFormat="1" applyBorder="1"/>
    <xf numFmtId="3" fontId="7" fillId="0" borderId="18" xfId="0" applyNumberFormat="1" applyFont="1" applyBorder="1"/>
    <xf numFmtId="0" fontId="7" fillId="0" borderId="38" xfId="0" applyFont="1" applyBorder="1" applyAlignment="1">
      <alignment horizontal="center"/>
    </xf>
    <xf numFmtId="0" fontId="0" fillId="0" borderId="51" xfId="0" applyBorder="1"/>
    <xf numFmtId="0" fontId="0" fillId="0" borderId="41" xfId="0" applyBorder="1"/>
    <xf numFmtId="0" fontId="0" fillId="0" borderId="71" xfId="0" applyBorder="1"/>
    <xf numFmtId="0" fontId="7" fillId="0" borderId="72" xfId="0" applyFont="1" applyBorder="1"/>
    <xf numFmtId="0" fontId="0" fillId="0" borderId="42" xfId="0" applyBorder="1"/>
    <xf numFmtId="0" fontId="0" fillId="0" borderId="74" xfId="0" applyBorder="1"/>
    <xf numFmtId="0" fontId="0" fillId="0" borderId="18" xfId="0" applyBorder="1"/>
    <xf numFmtId="0" fontId="7" fillId="0" borderId="32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0" fontId="0" fillId="0" borderId="75" xfId="0" applyBorder="1"/>
    <xf numFmtId="0" fontId="0" fillId="0" borderId="76" xfId="0" applyBorder="1"/>
    <xf numFmtId="0" fontId="0" fillId="0" borderId="10" xfId="0" applyBorder="1"/>
    <xf numFmtId="0" fontId="0" fillId="0" borderId="77" xfId="0" applyBorder="1"/>
    <xf numFmtId="0" fontId="47" fillId="0" borderId="4" xfId="0" applyFont="1" applyBorder="1"/>
    <xf numFmtId="0" fontId="46" fillId="0" borderId="12" xfId="0" applyFont="1" applyBorder="1"/>
    <xf numFmtId="0" fontId="47" fillId="0" borderId="5" xfId="0" applyFont="1" applyBorder="1"/>
    <xf numFmtId="0" fontId="47" fillId="0" borderId="12" xfId="0" applyFont="1" applyBorder="1"/>
    <xf numFmtId="170" fontId="52" fillId="0" borderId="2" xfId="0" applyNumberFormat="1" applyFont="1" applyBorder="1" applyAlignment="1">
      <alignment horizontal="center"/>
    </xf>
    <xf numFmtId="170" fontId="53" fillId="0" borderId="20" xfId="0" applyNumberFormat="1" applyFont="1" applyBorder="1" applyAlignment="1">
      <alignment horizontal="right"/>
    </xf>
    <xf numFmtId="170" fontId="52" fillId="0" borderId="20" xfId="0" applyNumberFormat="1" applyFont="1" applyBorder="1" applyAlignment="1">
      <alignment horizontal="right"/>
    </xf>
    <xf numFmtId="170" fontId="51" fillId="0" borderId="30" xfId="0" applyNumberFormat="1" applyFont="1" applyBorder="1" applyAlignment="1">
      <alignment horizontal="right"/>
    </xf>
    <xf numFmtId="0" fontId="52" fillId="0" borderId="0" xfId="0" applyFont="1" applyAlignment="1">
      <alignment horizontal="center"/>
    </xf>
    <xf numFmtId="170" fontId="48" fillId="0" borderId="36" xfId="0" applyNumberFormat="1" applyFont="1" applyBorder="1" applyAlignment="1">
      <alignment horizontal="right"/>
    </xf>
    <xf numFmtId="170" fontId="48" fillId="0" borderId="31" xfId="0" applyNumberFormat="1" applyFont="1" applyBorder="1" applyAlignment="1">
      <alignment horizontal="left"/>
    </xf>
    <xf numFmtId="170" fontId="50" fillId="0" borderId="48" xfId="0" applyNumberFormat="1" applyFont="1" applyBorder="1" applyAlignment="1">
      <alignment horizontal="left"/>
    </xf>
    <xf numFmtId="169" fontId="40" fillId="0" borderId="0" xfId="0" applyNumberFormat="1" applyFont="1"/>
    <xf numFmtId="0" fontId="7" fillId="0" borderId="74" xfId="0" applyFont="1" applyBorder="1"/>
    <xf numFmtId="3" fontId="0" fillId="0" borderId="12" xfId="0" applyNumberFormat="1" applyBorder="1"/>
    <xf numFmtId="0" fontId="56" fillId="0" borderId="0" xfId="0" applyFont="1" applyAlignment="1">
      <alignment horizontal="center" wrapText="1"/>
    </xf>
    <xf numFmtId="0" fontId="68" fillId="0" borderId="0" xfId="0" applyFont="1" applyAlignment="1">
      <alignment horizontal="center"/>
    </xf>
    <xf numFmtId="164" fontId="59" fillId="0" borderId="0" xfId="0" applyNumberFormat="1" applyFont="1"/>
    <xf numFmtId="164" fontId="55" fillId="0" borderId="0" xfId="0" applyNumberFormat="1" applyFont="1"/>
    <xf numFmtId="170" fontId="54" fillId="0" borderId="62" xfId="0" applyNumberFormat="1" applyFont="1" applyBorder="1"/>
    <xf numFmtId="170" fontId="54" fillId="0" borderId="56" xfId="0" applyNumberFormat="1" applyFont="1" applyBorder="1"/>
    <xf numFmtId="0" fontId="54" fillId="0" borderId="30" xfId="0" applyFont="1" applyBorder="1"/>
    <xf numFmtId="170" fontId="54" fillId="0" borderId="30" xfId="0" applyNumberFormat="1" applyFont="1" applyBorder="1"/>
    <xf numFmtId="170" fontId="16" fillId="0" borderId="0" xfId="0" applyNumberFormat="1" applyFont="1"/>
    <xf numFmtId="1" fontId="44" fillId="0" borderId="44" xfId="0" applyNumberFormat="1" applyFont="1" applyBorder="1"/>
    <xf numFmtId="1" fontId="44" fillId="0" borderId="44" xfId="0" applyNumberFormat="1" applyFont="1" applyBorder="1" applyAlignment="1">
      <alignment horizontal="left"/>
    </xf>
    <xf numFmtId="1" fontId="38" fillId="0" borderId="27" xfId="0" applyNumberFormat="1" applyFont="1" applyBorder="1"/>
    <xf numFmtId="1" fontId="7" fillId="0" borderId="2" xfId="0" applyNumberFormat="1" applyFont="1" applyBorder="1"/>
    <xf numFmtId="0" fontId="7" fillId="0" borderId="76" xfId="0" applyFont="1" applyBorder="1" applyAlignment="1">
      <alignment horizontal="center" wrapText="1"/>
    </xf>
    <xf numFmtId="3" fontId="8" fillId="0" borderId="4" xfId="0" applyNumberFormat="1" applyFont="1" applyBorder="1"/>
    <xf numFmtId="0" fontId="48" fillId="0" borderId="30" xfId="0" applyFont="1" applyBorder="1" applyAlignment="1">
      <alignment horizontal="center"/>
    </xf>
    <xf numFmtId="10" fontId="40" fillId="0" borderId="12" xfId="0" applyNumberFormat="1" applyFont="1" applyBorder="1"/>
    <xf numFmtId="170" fontId="48" fillId="0" borderId="48" xfId="0" applyNumberFormat="1" applyFont="1" applyBorder="1" applyAlignment="1">
      <alignment horizontal="left"/>
    </xf>
    <xf numFmtId="170" fontId="48" fillId="0" borderId="30" xfId="0" applyNumberFormat="1" applyFont="1" applyBorder="1" applyAlignment="1">
      <alignment horizontal="center"/>
    </xf>
    <xf numFmtId="170" fontId="48" fillId="0" borderId="30" xfId="0" applyNumberFormat="1" applyFont="1" applyBorder="1" applyAlignment="1">
      <alignment horizontal="right"/>
    </xf>
    <xf numFmtId="170" fontId="52" fillId="0" borderId="4" xfId="0" applyNumberFormat="1" applyFont="1" applyBorder="1" applyAlignment="1">
      <alignment horizontal="center"/>
    </xf>
    <xf numFmtId="170" fontId="52" fillId="0" borderId="4" xfId="0" applyNumberFormat="1" applyFont="1" applyBorder="1" applyAlignment="1">
      <alignment horizontal="left"/>
    </xf>
    <xf numFmtId="0" fontId="50" fillId="0" borderId="48" xfId="0" applyFont="1" applyBorder="1"/>
    <xf numFmtId="1" fontId="71" fillId="0" borderId="11" xfId="3" applyNumberFormat="1" applyFont="1" applyBorder="1"/>
    <xf numFmtId="170" fontId="53" fillId="0" borderId="44" xfId="0" applyNumberFormat="1" applyFont="1" applyBorder="1" applyAlignment="1">
      <alignment horizontal="left" wrapText="1"/>
    </xf>
    <xf numFmtId="165" fontId="72" fillId="0" borderId="0" xfId="0" applyNumberFormat="1" applyFont="1"/>
    <xf numFmtId="0" fontId="0" fillId="0" borderId="30" xfId="0" applyBorder="1" applyAlignment="1">
      <alignment horizontal="center"/>
    </xf>
    <xf numFmtId="169" fontId="67" fillId="0" borderId="0" xfId="0" applyNumberFormat="1" applyFont="1"/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5" xfId="0" applyFont="1" applyBorder="1"/>
    <xf numFmtId="0" fontId="7" fillId="0" borderId="4" xfId="0" applyFont="1" applyBorder="1" applyAlignment="1">
      <alignment horizontal="left"/>
    </xf>
    <xf numFmtId="0" fontId="7" fillId="0" borderId="5" xfId="0" applyFont="1" applyBorder="1"/>
    <xf numFmtId="0" fontId="7" fillId="0" borderId="37" xfId="0" applyFont="1" applyBorder="1"/>
    <xf numFmtId="0" fontId="7" fillId="0" borderId="5" xfId="0" applyFont="1" applyBorder="1" applyAlignment="1">
      <alignment horizontal="left"/>
    </xf>
    <xf numFmtId="0" fontId="7" fillId="0" borderId="3" xfId="0" applyFont="1" applyBorder="1"/>
    <xf numFmtId="0" fontId="7" fillId="0" borderId="41" xfId="0" applyFont="1" applyBorder="1"/>
    <xf numFmtId="0" fontId="7" fillId="0" borderId="42" xfId="0" applyFont="1" applyBorder="1"/>
    <xf numFmtId="0" fontId="7" fillId="0" borderId="12" xfId="0" applyFont="1" applyBorder="1"/>
    <xf numFmtId="0" fontId="7" fillId="0" borderId="39" xfId="0" applyFont="1" applyBorder="1"/>
    <xf numFmtId="0" fontId="7" fillId="0" borderId="18" xfId="0" quotePrefix="1" applyFont="1" applyBorder="1" applyAlignment="1">
      <alignment horizontal="left"/>
    </xf>
    <xf numFmtId="0" fontId="7" fillId="0" borderId="26" xfId="0" applyFont="1" applyBorder="1"/>
    <xf numFmtId="0" fontId="52" fillId="0" borderId="44" xfId="0" applyFont="1" applyBorder="1"/>
    <xf numFmtId="0" fontId="53" fillId="0" borderId="44" xfId="0" applyFont="1" applyBorder="1" applyAlignment="1">
      <alignment horizontal="left"/>
    </xf>
    <xf numFmtId="0" fontId="53" fillId="0" borderId="44" xfId="0" applyFont="1" applyBorder="1" applyAlignment="1">
      <alignment horizontal="left" wrapText="1"/>
    </xf>
    <xf numFmtId="0" fontId="35" fillId="0" borderId="8" xfId="0" applyFont="1" applyBorder="1"/>
    <xf numFmtId="0" fontId="4" fillId="0" borderId="16" xfId="0" applyFont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0" fontId="53" fillId="0" borderId="48" xfId="0" applyFont="1" applyBorder="1" applyAlignment="1">
      <alignment wrapText="1"/>
    </xf>
    <xf numFmtId="1" fontId="53" fillId="0" borderId="36" xfId="0" applyNumberFormat="1" applyFont="1" applyBorder="1" applyAlignment="1">
      <alignment horizontal="right" wrapText="1"/>
    </xf>
    <xf numFmtId="170" fontId="52" fillId="0" borderId="34" xfId="0" applyNumberFormat="1" applyFont="1" applyBorder="1" applyAlignment="1">
      <alignment horizontal="center"/>
    </xf>
    <xf numFmtId="170" fontId="52" fillId="0" borderId="35" xfId="0" applyNumberFormat="1" applyFont="1" applyBorder="1" applyAlignment="1">
      <alignment horizontal="center"/>
    </xf>
    <xf numFmtId="0" fontId="53" fillId="0" borderId="44" xfId="0" applyFont="1" applyBorder="1"/>
    <xf numFmtId="170" fontId="53" fillId="0" borderId="48" xfId="0" applyNumberFormat="1" applyFont="1" applyBorder="1" applyAlignment="1">
      <alignment horizontal="left" wrapText="1"/>
    </xf>
    <xf numFmtId="0" fontId="53" fillId="0" borderId="48" xfId="0" applyFont="1" applyBorder="1" applyAlignment="1">
      <alignment horizontal="left"/>
    </xf>
    <xf numFmtId="1" fontId="53" fillId="0" borderId="36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wrapText="1"/>
    </xf>
    <xf numFmtId="1" fontId="0" fillId="0" borderId="77" xfId="0" applyNumberFormat="1" applyBorder="1"/>
    <xf numFmtId="0" fontId="8" fillId="0" borderId="1" xfId="0" applyFont="1" applyBorder="1"/>
    <xf numFmtId="0" fontId="8" fillId="0" borderId="28" xfId="0" applyFont="1" applyBorder="1"/>
    <xf numFmtId="1" fontId="7" fillId="0" borderId="74" xfId="0" applyNumberFormat="1" applyFont="1" applyBorder="1"/>
    <xf numFmtId="0" fontId="0" fillId="0" borderId="26" xfId="0" applyBorder="1"/>
    <xf numFmtId="0" fontId="7" fillId="0" borderId="77" xfId="0" applyFont="1" applyBorder="1"/>
    <xf numFmtId="0" fontId="8" fillId="0" borderId="26" xfId="0" applyFont="1" applyBorder="1"/>
    <xf numFmtId="1" fontId="0" fillId="0" borderId="41" xfId="0" applyNumberFormat="1" applyBorder="1"/>
    <xf numFmtId="1" fontId="0" fillId="0" borderId="4" xfId="0" applyNumberFormat="1" applyBorder="1"/>
    <xf numFmtId="0" fontId="8" fillId="0" borderId="19" xfId="0" applyFont="1" applyBorder="1"/>
    <xf numFmtId="0" fontId="8" fillId="0" borderId="14" xfId="0" applyFont="1" applyBorder="1"/>
    <xf numFmtId="0" fontId="8" fillId="0" borderId="16" xfId="0" applyFont="1" applyBorder="1"/>
    <xf numFmtId="0" fontId="8" fillId="0" borderId="54" xfId="0" applyFont="1" applyBorder="1"/>
    <xf numFmtId="0" fontId="5" fillId="0" borderId="18" xfId="0" applyFont="1" applyBorder="1"/>
    <xf numFmtId="0" fontId="2" fillId="0" borderId="16" xfId="0" applyFont="1" applyBorder="1"/>
    <xf numFmtId="49" fontId="74" fillId="0" borderId="16" xfId="0" applyNumberFormat="1" applyFont="1" applyBorder="1" applyAlignment="1">
      <alignment horizontal="center" vertical="center"/>
    </xf>
    <xf numFmtId="0" fontId="74" fillId="0" borderId="4" xfId="0" applyFont="1" applyBorder="1" applyAlignment="1">
      <alignment wrapText="1"/>
    </xf>
    <xf numFmtId="0" fontId="74" fillId="0" borderId="12" xfId="0" applyFont="1" applyBorder="1" applyAlignment="1">
      <alignment wrapText="1"/>
    </xf>
    <xf numFmtId="49" fontId="74" fillId="0" borderId="16" xfId="0" applyNumberFormat="1" applyFont="1" applyBorder="1" applyAlignment="1">
      <alignment horizontal="center"/>
    </xf>
    <xf numFmtId="49" fontId="74" fillId="0" borderId="11" xfId="0" applyNumberFormat="1" applyFont="1" applyBorder="1" applyAlignment="1">
      <alignment horizontal="center"/>
    </xf>
    <xf numFmtId="0" fontId="74" fillId="0" borderId="4" xfId="0" applyFont="1" applyBorder="1"/>
    <xf numFmtId="0" fontId="74" fillId="0" borderId="0" xfId="0" applyFont="1"/>
    <xf numFmtId="49" fontId="74" fillId="0" borderId="16" xfId="0" applyNumberFormat="1" applyFont="1" applyBorder="1" applyAlignment="1">
      <alignment horizontal="center" wrapText="1"/>
    </xf>
    <xf numFmtId="170" fontId="53" fillId="0" borderId="0" xfId="0" applyNumberFormat="1" applyFont="1" applyAlignment="1">
      <alignment horizontal="right"/>
    </xf>
    <xf numFmtId="170" fontId="51" fillId="0" borderId="36" xfId="0" applyNumberFormat="1" applyFont="1" applyBorder="1" applyAlignment="1">
      <alignment horizontal="right"/>
    </xf>
    <xf numFmtId="170" fontId="53" fillId="0" borderId="0" xfId="0" applyNumberFormat="1" applyFont="1" applyAlignment="1">
      <alignment horizontal="left"/>
    </xf>
    <xf numFmtId="170" fontId="52" fillId="0" borderId="38" xfId="0" applyNumberFormat="1" applyFont="1" applyBorder="1" applyAlignment="1">
      <alignment horizontal="center"/>
    </xf>
    <xf numFmtId="170" fontId="52" fillId="0" borderId="23" xfId="0" applyNumberFormat="1" applyFont="1" applyBorder="1" applyAlignment="1">
      <alignment horizontal="center"/>
    </xf>
    <xf numFmtId="0" fontId="53" fillId="0" borderId="11" xfId="0" applyFont="1" applyBorder="1" applyAlignment="1">
      <alignment horizontal="left"/>
    </xf>
    <xf numFmtId="1" fontId="53" fillId="0" borderId="12" xfId="0" applyNumberFormat="1" applyFont="1" applyBorder="1" applyAlignment="1">
      <alignment horizontal="right"/>
    </xf>
    <xf numFmtId="170" fontId="52" fillId="0" borderId="13" xfId="0" applyNumberFormat="1" applyFont="1" applyBorder="1" applyAlignment="1">
      <alignment horizontal="right"/>
    </xf>
    <xf numFmtId="0" fontId="53" fillId="0" borderId="54" xfId="0" applyFont="1" applyBorder="1" applyAlignment="1">
      <alignment horizontal="left"/>
    </xf>
    <xf numFmtId="1" fontId="53" fillId="0" borderId="43" xfId="0" applyNumberFormat="1" applyFont="1" applyBorder="1" applyAlignment="1">
      <alignment horizontal="right"/>
    </xf>
    <xf numFmtId="170" fontId="52" fillId="0" borderId="55" xfId="0" applyNumberFormat="1" applyFont="1" applyBorder="1" applyAlignment="1">
      <alignment horizontal="right"/>
    </xf>
    <xf numFmtId="170" fontId="53" fillId="0" borderId="14" xfId="0" applyNumberFormat="1" applyFont="1" applyBorder="1" applyAlignment="1">
      <alignment horizontal="left" wrapText="1"/>
    </xf>
    <xf numFmtId="0" fontId="69" fillId="0" borderId="46" xfId="0" applyFont="1" applyBorder="1"/>
    <xf numFmtId="0" fontId="56" fillId="0" borderId="77" xfId="0" applyFont="1" applyBorder="1" applyAlignment="1">
      <alignment horizontal="left"/>
    </xf>
    <xf numFmtId="0" fontId="54" fillId="0" borderId="34" xfId="0" applyFont="1" applyBorder="1"/>
    <xf numFmtId="170" fontId="54" fillId="0" borderId="34" xfId="0" applyNumberFormat="1" applyFont="1" applyBorder="1"/>
    <xf numFmtId="0" fontId="54" fillId="0" borderId="77" xfId="0" applyFont="1" applyBorder="1"/>
    <xf numFmtId="0" fontId="69" fillId="0" borderId="76" xfId="0" applyFont="1" applyBorder="1"/>
    <xf numFmtId="170" fontId="48" fillId="0" borderId="0" xfId="0" applyNumberFormat="1" applyFont="1" applyAlignment="1">
      <alignment horizontal="left"/>
    </xf>
    <xf numFmtId="0" fontId="2" fillId="0" borderId="26" xfId="0" applyFont="1" applyBorder="1"/>
    <xf numFmtId="1" fontId="7" fillId="0" borderId="32" xfId="0" applyNumberFormat="1" applyFont="1" applyBorder="1"/>
    <xf numFmtId="49" fontId="74" fillId="0" borderId="8" xfId="0" applyNumberFormat="1" applyFont="1" applyBorder="1" applyAlignment="1">
      <alignment horizontal="center" vertical="center"/>
    </xf>
    <xf numFmtId="0" fontId="74" fillId="0" borderId="9" xfId="0" applyFont="1" applyBorder="1" applyAlignment="1">
      <alignment horizontal="left" vertical="center"/>
    </xf>
    <xf numFmtId="49" fontId="74" fillId="0" borderId="8" xfId="0" applyNumberFormat="1" applyFont="1" applyBorder="1" applyAlignment="1">
      <alignment horizontal="left" wrapText="1"/>
    </xf>
    <xf numFmtId="0" fontId="74" fillId="0" borderId="9" xfId="0" applyFont="1" applyBorder="1"/>
    <xf numFmtId="49" fontId="74" fillId="0" borderId="16" xfId="0" applyNumberFormat="1" applyFont="1" applyBorder="1" applyAlignment="1">
      <alignment horizontal="left" wrapText="1"/>
    </xf>
    <xf numFmtId="0" fontId="53" fillId="0" borderId="20" xfId="0" applyFont="1" applyBorder="1"/>
    <xf numFmtId="0" fontId="53" fillId="0" borderId="45" xfId="0" applyFont="1" applyBorder="1"/>
    <xf numFmtId="1" fontId="0" fillId="0" borderId="76" xfId="0" applyNumberFormat="1" applyBorder="1"/>
    <xf numFmtId="0" fontId="7" fillId="0" borderId="63" xfId="0" applyFont="1" applyBorder="1"/>
    <xf numFmtId="0" fontId="0" fillId="0" borderId="65" xfId="0" applyBorder="1"/>
    <xf numFmtId="0" fontId="0" fillId="0" borderId="63" xfId="0" applyBorder="1"/>
    <xf numFmtId="0" fontId="8" fillId="0" borderId="63" xfId="0" applyFont="1" applyBorder="1"/>
    <xf numFmtId="0" fontId="8" fillId="0" borderId="57" xfId="0" applyFont="1" applyBorder="1"/>
    <xf numFmtId="0" fontId="8" fillId="0" borderId="65" xfId="0" applyFont="1" applyBorder="1"/>
    <xf numFmtId="0" fontId="46" fillId="0" borderId="36" xfId="0" applyFont="1" applyBorder="1"/>
    <xf numFmtId="169" fontId="46" fillId="0" borderId="0" xfId="0" applyNumberFormat="1" applyFont="1"/>
    <xf numFmtId="0" fontId="74" fillId="0" borderId="5" xfId="0" applyFont="1" applyBorder="1" applyAlignment="1">
      <alignment wrapText="1"/>
    </xf>
    <xf numFmtId="49" fontId="74" fillId="0" borderId="14" xfId="0" applyNumberFormat="1" applyFont="1" applyBorder="1" applyAlignment="1">
      <alignment horizontal="center"/>
    </xf>
    <xf numFmtId="0" fontId="74" fillId="0" borderId="36" xfId="0" applyFont="1" applyBorder="1"/>
    <xf numFmtId="170" fontId="46" fillId="0" borderId="44" xfId="0" applyNumberFormat="1" applyFont="1" applyBorder="1"/>
    <xf numFmtId="0" fontId="74" fillId="0" borderId="44" xfId="0" applyFont="1" applyBorder="1"/>
    <xf numFmtId="0" fontId="40" fillId="0" borderId="44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70" fontId="53" fillId="0" borderId="36" xfId="0" applyNumberFormat="1" applyFont="1" applyBorder="1" applyAlignment="1">
      <alignment horizontal="right"/>
    </xf>
    <xf numFmtId="10" fontId="76" fillId="0" borderId="22" xfId="0" applyNumberFormat="1" applyFont="1" applyBorder="1"/>
    <xf numFmtId="0" fontId="1" fillId="0" borderId="37" xfId="0" applyFont="1" applyBorder="1"/>
    <xf numFmtId="0" fontId="47" fillId="0" borderId="5" xfId="0" applyFont="1" applyBorder="1" applyAlignment="1">
      <alignment wrapText="1"/>
    </xf>
    <xf numFmtId="0" fontId="1" fillId="0" borderId="31" xfId="0" applyFont="1" applyBorder="1"/>
    <xf numFmtId="0" fontId="1" fillId="0" borderId="27" xfId="0" applyFont="1" applyBorder="1"/>
    <xf numFmtId="0" fontId="2" fillId="0" borderId="9" xfId="0" applyFont="1" applyBorder="1"/>
    <xf numFmtId="0" fontId="2" fillId="0" borderId="24" xfId="0" applyFont="1" applyBorder="1" applyAlignment="1">
      <alignment wrapText="1"/>
    </xf>
    <xf numFmtId="0" fontId="2" fillId="0" borderId="30" xfId="0" applyFont="1" applyBorder="1"/>
    <xf numFmtId="0" fontId="1" fillId="0" borderId="46" xfId="0" applyFont="1" applyBorder="1"/>
    <xf numFmtId="3" fontId="2" fillId="0" borderId="8" xfId="0" applyNumberFormat="1" applyFont="1" applyBorder="1"/>
    <xf numFmtId="3" fontId="2" fillId="0" borderId="10" xfId="0" applyNumberFormat="1" applyFont="1" applyBorder="1"/>
    <xf numFmtId="0" fontId="2" fillId="0" borderId="49" xfId="0" applyFont="1" applyBorder="1" applyAlignment="1">
      <alignment wrapText="1"/>
    </xf>
    <xf numFmtId="0" fontId="1" fillId="0" borderId="72" xfId="0" applyFont="1" applyBorder="1" applyAlignment="1">
      <alignment wrapText="1"/>
    </xf>
    <xf numFmtId="0" fontId="0" fillId="0" borderId="62" xfId="0" applyBorder="1" applyAlignment="1">
      <alignment horizontal="right"/>
    </xf>
    <xf numFmtId="0" fontId="0" fillId="0" borderId="62" xfId="0" applyBorder="1" applyAlignment="1">
      <alignment horizontal="center"/>
    </xf>
    <xf numFmtId="0" fontId="81" fillId="7" borderId="0" xfId="0" applyFont="1" applyFill="1"/>
    <xf numFmtId="0" fontId="80" fillId="7" borderId="0" xfId="0" applyFont="1" applyFill="1"/>
    <xf numFmtId="49" fontId="74" fillId="0" borderId="54" xfId="0" applyNumberFormat="1" applyFont="1" applyBorder="1" applyAlignment="1">
      <alignment horizontal="center" vertical="center"/>
    </xf>
    <xf numFmtId="0" fontId="74" fillId="0" borderId="43" xfId="0" applyFont="1" applyBorder="1" applyAlignment="1">
      <alignment wrapText="1"/>
    </xf>
    <xf numFmtId="49" fontId="74" fillId="0" borderId="54" xfId="0" applyNumberFormat="1" applyFont="1" applyBorder="1" applyAlignment="1">
      <alignment horizontal="center"/>
    </xf>
    <xf numFmtId="0" fontId="74" fillId="0" borderId="43" xfId="0" applyFont="1" applyBorder="1"/>
    <xf numFmtId="49" fontId="74" fillId="0" borderId="54" xfId="0" applyNumberFormat="1" applyFont="1" applyBorder="1" applyAlignment="1">
      <alignment horizontal="left" wrapText="1"/>
    </xf>
    <xf numFmtId="49" fontId="46" fillId="0" borderId="54" xfId="0" applyNumberFormat="1" applyFont="1" applyBorder="1" applyAlignment="1">
      <alignment horizontal="left" wrapText="1"/>
    </xf>
    <xf numFmtId="0" fontId="82" fillId="7" borderId="0" xfId="0" applyFont="1" applyFill="1"/>
    <xf numFmtId="0" fontId="46" fillId="0" borderId="43" xfId="0" applyFont="1" applyBorder="1"/>
    <xf numFmtId="170" fontId="52" fillId="0" borderId="31" xfId="0" applyNumberFormat="1" applyFont="1" applyBorder="1" applyAlignment="1">
      <alignment horizontal="left"/>
    </xf>
    <xf numFmtId="0" fontId="52" fillId="0" borderId="16" xfId="0" applyFont="1" applyBorder="1"/>
    <xf numFmtId="0" fontId="46" fillId="0" borderId="9" xfId="0" applyFont="1" applyBorder="1"/>
    <xf numFmtId="0" fontId="46" fillId="0" borderId="12" xfId="0" applyFont="1" applyBorder="1" applyAlignment="1">
      <alignment horizontal="right"/>
    </xf>
    <xf numFmtId="0" fontId="84" fillId="7" borderId="0" xfId="0" applyFont="1" applyFill="1" applyAlignment="1">
      <alignment horizontal="left"/>
    </xf>
    <xf numFmtId="170" fontId="85" fillId="7" borderId="30" xfId="0" applyNumberFormat="1" applyFont="1" applyFill="1" applyBorder="1" applyAlignment="1">
      <alignment horizontal="left"/>
    </xf>
    <xf numFmtId="0" fontId="81" fillId="7" borderId="36" xfId="0" applyFont="1" applyFill="1" applyBorder="1"/>
    <xf numFmtId="170" fontId="86" fillId="7" borderId="30" xfId="0" applyNumberFormat="1" applyFont="1" applyFill="1" applyBorder="1" applyAlignment="1">
      <alignment horizontal="left"/>
    </xf>
    <xf numFmtId="170" fontId="86" fillId="7" borderId="48" xfId="0" applyNumberFormat="1" applyFont="1" applyFill="1" applyBorder="1" applyAlignment="1">
      <alignment horizontal="left"/>
    </xf>
    <xf numFmtId="170" fontId="85" fillId="7" borderId="30" xfId="0" applyNumberFormat="1" applyFont="1" applyFill="1" applyBorder="1" applyAlignment="1">
      <alignment horizontal="right"/>
    </xf>
    <xf numFmtId="0" fontId="84" fillId="7" borderId="0" xfId="0" applyFont="1" applyFill="1"/>
    <xf numFmtId="0" fontId="87" fillId="7" borderId="0" xfId="0" applyFont="1" applyFill="1"/>
    <xf numFmtId="170" fontId="85" fillId="7" borderId="31" xfId="0" applyNumberFormat="1" applyFont="1" applyFill="1" applyBorder="1" applyAlignment="1">
      <alignment horizontal="left"/>
    </xf>
    <xf numFmtId="0" fontId="83" fillId="7" borderId="0" xfId="0" applyFont="1" applyFill="1"/>
    <xf numFmtId="0" fontId="79" fillId="7" borderId="30" xfId="0" applyFont="1" applyFill="1" applyBorder="1"/>
    <xf numFmtId="49" fontId="74" fillId="0" borderId="19" xfId="0" applyNumberFormat="1" applyFont="1" applyBorder="1" applyAlignment="1">
      <alignment horizontal="center"/>
    </xf>
    <xf numFmtId="0" fontId="8" fillId="0" borderId="11" xfId="0" applyFont="1" applyBorder="1"/>
    <xf numFmtId="49" fontId="74" fillId="0" borderId="8" xfId="0" applyNumberFormat="1" applyFont="1" applyBorder="1" applyAlignment="1">
      <alignment horizontal="center"/>
    </xf>
    <xf numFmtId="0" fontId="75" fillId="0" borderId="7" xfId="0" applyFont="1" applyBorder="1" applyAlignment="1">
      <alignment horizontal="center"/>
    </xf>
    <xf numFmtId="0" fontId="75" fillId="0" borderId="0" xfId="0" applyFont="1" applyAlignment="1">
      <alignment horizontal="center"/>
    </xf>
    <xf numFmtId="0" fontId="76" fillId="0" borderId="0" xfId="0" applyFont="1" applyAlignment="1">
      <alignment horizontal="center"/>
    </xf>
    <xf numFmtId="0" fontId="89" fillId="0" borderId="0" xfId="0" applyFont="1"/>
    <xf numFmtId="0" fontId="75" fillId="0" borderId="6" xfId="5" applyNumberFormat="1" applyFont="1" applyBorder="1" applyAlignment="1">
      <alignment horizontal="center" wrapText="1"/>
    </xf>
    <xf numFmtId="168" fontId="75" fillId="0" borderId="6" xfId="5" applyNumberFormat="1" applyFont="1" applyBorder="1" applyAlignment="1">
      <alignment horizontal="center" wrapText="1"/>
    </xf>
    <xf numFmtId="168" fontId="75" fillId="0" borderId="7" xfId="5" applyNumberFormat="1" applyFont="1" applyBorder="1" applyAlignment="1">
      <alignment horizontal="center" wrapText="1"/>
    </xf>
    <xf numFmtId="168" fontId="75" fillId="0" borderId="8" xfId="5" applyNumberFormat="1" applyFont="1" applyBorder="1" applyAlignment="1">
      <alignment horizontal="center" wrapText="1"/>
    </xf>
    <xf numFmtId="168" fontId="75" fillId="0" borderId="0" xfId="5" applyNumberFormat="1" applyFont="1" applyAlignment="1">
      <alignment horizontal="center"/>
    </xf>
    <xf numFmtId="49" fontId="75" fillId="0" borderId="8" xfId="0" applyNumberFormat="1" applyFont="1" applyBorder="1" applyAlignment="1">
      <alignment horizontal="center" wrapText="1"/>
    </xf>
    <xf numFmtId="0" fontId="75" fillId="0" borderId="9" xfId="0" applyFont="1" applyBorder="1" applyAlignment="1">
      <alignment horizontal="center" wrapText="1"/>
    </xf>
    <xf numFmtId="168" fontId="75" fillId="0" borderId="9" xfId="5" applyNumberFormat="1" applyFont="1" applyBorder="1" applyAlignment="1">
      <alignment horizontal="center" wrapText="1"/>
    </xf>
    <xf numFmtId="168" fontId="75" fillId="0" borderId="79" xfId="5" applyNumberFormat="1" applyFont="1" applyBorder="1" applyAlignment="1">
      <alignment horizontal="center" wrapText="1"/>
    </xf>
    <xf numFmtId="168" fontId="75" fillId="4" borderId="24" xfId="5" applyNumberFormat="1" applyFont="1" applyFill="1" applyBorder="1" applyAlignment="1">
      <alignment horizontal="center"/>
    </xf>
    <xf numFmtId="49" fontId="74" fillId="0" borderId="14" xfId="0" applyNumberFormat="1" applyFont="1" applyBorder="1" applyAlignment="1">
      <alignment horizontal="center" vertical="center"/>
    </xf>
    <xf numFmtId="0" fontId="75" fillId="3" borderId="26" xfId="0" applyFont="1" applyFill="1" applyBorder="1" applyAlignment="1">
      <alignment wrapText="1"/>
    </xf>
    <xf numFmtId="168" fontId="74" fillId="0" borderId="0" xfId="0" applyNumberFormat="1" applyFont="1"/>
    <xf numFmtId="49" fontId="75" fillId="3" borderId="33" xfId="0" applyNumberFormat="1" applyFont="1" applyFill="1" applyBorder="1" applyAlignment="1">
      <alignment wrapText="1"/>
    </xf>
    <xf numFmtId="0" fontId="75" fillId="3" borderId="68" xfId="0" applyFont="1" applyFill="1" applyBorder="1" applyAlignment="1">
      <alignment wrapText="1"/>
    </xf>
    <xf numFmtId="170" fontId="74" fillId="0" borderId="44" xfId="0" applyNumberFormat="1" applyFont="1" applyBorder="1"/>
    <xf numFmtId="49" fontId="75" fillId="0" borderId="33" xfId="0" applyNumberFormat="1" applyFont="1" applyBorder="1" applyAlignment="1">
      <alignment wrapText="1"/>
    </xf>
    <xf numFmtId="0" fontId="75" fillId="0" borderId="67" xfId="0" applyFont="1" applyBorder="1" applyAlignment="1">
      <alignment wrapText="1"/>
    </xf>
    <xf numFmtId="0" fontId="74" fillId="0" borderId="9" xfId="0" quotePrefix="1" applyFont="1" applyBorder="1" applyAlignment="1">
      <alignment horizontal="left"/>
    </xf>
    <xf numFmtId="1" fontId="74" fillId="0" borderId="44" xfId="0" applyNumberFormat="1" applyFont="1" applyBorder="1"/>
    <xf numFmtId="0" fontId="75" fillId="3" borderId="12" xfId="0" applyFont="1" applyFill="1" applyBorder="1" applyAlignment="1">
      <alignment wrapText="1"/>
    </xf>
    <xf numFmtId="170" fontId="75" fillId="3" borderId="12" xfId="0" applyNumberFormat="1" applyFont="1" applyFill="1" applyBorder="1" applyAlignment="1">
      <alignment horizontal="right"/>
    </xf>
    <xf numFmtId="170" fontId="75" fillId="3" borderId="56" xfId="0" applyNumberFormat="1" applyFont="1" applyFill="1" applyBorder="1" applyAlignment="1">
      <alignment horizontal="right"/>
    </xf>
    <xf numFmtId="0" fontId="74" fillId="0" borderId="27" xfId="0" applyFont="1" applyBorder="1" applyAlignment="1">
      <alignment horizontal="center" vertical="center"/>
    </xf>
    <xf numFmtId="0" fontId="74" fillId="0" borderId="28" xfId="0" applyFont="1" applyBorder="1" applyAlignment="1">
      <alignment wrapText="1"/>
    </xf>
    <xf numFmtId="170" fontId="74" fillId="0" borderId="44" xfId="5" applyNumberFormat="1" applyFont="1" applyBorder="1" applyAlignment="1">
      <alignment horizontal="right"/>
    </xf>
    <xf numFmtId="170" fontId="75" fillId="0" borderId="0" xfId="5" applyNumberFormat="1" applyFont="1" applyAlignment="1">
      <alignment horizontal="right" vertical="center"/>
    </xf>
    <xf numFmtId="170" fontId="74" fillId="0" borderId="44" xfId="0" applyNumberFormat="1" applyFont="1" applyBorder="1" applyAlignment="1">
      <alignment horizontal="right"/>
    </xf>
    <xf numFmtId="0" fontId="75" fillId="3" borderId="33" xfId="0" applyFont="1" applyFill="1" applyBorder="1" applyAlignment="1">
      <alignment wrapText="1"/>
    </xf>
    <xf numFmtId="170" fontId="75" fillId="0" borderId="44" xfId="0" applyNumberFormat="1" applyFont="1" applyBorder="1" applyAlignment="1">
      <alignment horizontal="right"/>
    </xf>
    <xf numFmtId="0" fontId="74" fillId="3" borderId="26" xfId="0" applyFont="1" applyFill="1" applyBorder="1" applyAlignment="1">
      <alignment wrapText="1"/>
    </xf>
    <xf numFmtId="0" fontId="75" fillId="0" borderId="78" xfId="0" applyFont="1" applyBorder="1" applyAlignment="1">
      <alignment wrapText="1"/>
    </xf>
    <xf numFmtId="0" fontId="74" fillId="3" borderId="12" xfId="0" applyFont="1" applyFill="1" applyBorder="1" applyAlignment="1">
      <alignment wrapText="1"/>
    </xf>
    <xf numFmtId="170" fontId="75" fillId="3" borderId="72" xfId="0" applyNumberFormat="1" applyFont="1" applyFill="1" applyBorder="1" applyAlignment="1">
      <alignment horizontal="right"/>
    </xf>
    <xf numFmtId="170" fontId="75" fillId="0" borderId="0" xfId="0" applyNumberFormat="1" applyFont="1" applyAlignment="1">
      <alignment horizontal="right"/>
    </xf>
    <xf numFmtId="0" fontId="75" fillId="0" borderId="44" xfId="0" applyFont="1" applyBorder="1" applyAlignment="1">
      <alignment wrapText="1"/>
    </xf>
    <xf numFmtId="0" fontId="75" fillId="0" borderId="0" xfId="0" applyFont="1" applyAlignment="1">
      <alignment wrapText="1"/>
    </xf>
    <xf numFmtId="0" fontId="75" fillId="0" borderId="0" xfId="0" applyFont="1" applyAlignment="1">
      <alignment horizontal="right"/>
    </xf>
    <xf numFmtId="170" fontId="75" fillId="0" borderId="7" xfId="0" applyNumberFormat="1" applyFont="1" applyBorder="1" applyAlignment="1">
      <alignment horizontal="right"/>
    </xf>
    <xf numFmtId="49" fontId="75" fillId="0" borderId="8" xfId="0" applyNumberFormat="1" applyFont="1" applyBorder="1" applyAlignment="1">
      <alignment horizontal="left" wrapText="1"/>
    </xf>
    <xf numFmtId="0" fontId="75" fillId="0" borderId="9" xfId="0" applyFont="1" applyBorder="1"/>
    <xf numFmtId="168" fontId="75" fillId="0" borderId="63" xfId="5" applyNumberFormat="1" applyFont="1" applyBorder="1" applyAlignment="1">
      <alignment horizontal="center" textRotation="90" wrapText="1"/>
    </xf>
    <xf numFmtId="168" fontId="75" fillId="0" borderId="9" xfId="5" applyNumberFormat="1" applyFont="1" applyBorder="1" applyAlignment="1">
      <alignment horizontal="center" textRotation="90" wrapText="1"/>
    </xf>
    <xf numFmtId="168" fontId="75" fillId="0" borderId="79" xfId="5" applyNumberFormat="1" applyFont="1" applyBorder="1" applyAlignment="1">
      <alignment horizontal="center" textRotation="90" wrapText="1"/>
    </xf>
    <xf numFmtId="168" fontId="75" fillId="0" borderId="79" xfId="5" applyNumberFormat="1" applyFont="1" applyBorder="1" applyAlignment="1">
      <alignment horizontal="center"/>
    </xf>
    <xf numFmtId="0" fontId="74" fillId="0" borderId="7" xfId="0" applyFont="1" applyBorder="1"/>
    <xf numFmtId="49" fontId="75" fillId="0" borderId="31" xfId="0" applyNumberFormat="1" applyFont="1" applyBorder="1"/>
    <xf numFmtId="0" fontId="75" fillId="0" borderId="26" xfId="0" applyFont="1" applyBorder="1"/>
    <xf numFmtId="169" fontId="74" fillId="0" borderId="0" xfId="0" applyNumberFormat="1" applyFont="1"/>
    <xf numFmtId="49" fontId="75" fillId="0" borderId="33" xfId="0" applyNumberFormat="1" applyFont="1" applyBorder="1"/>
    <xf numFmtId="0" fontId="74" fillId="0" borderId="26" xfId="0" applyFont="1" applyBorder="1" applyAlignment="1">
      <alignment wrapText="1"/>
    </xf>
    <xf numFmtId="0" fontId="74" fillId="0" borderId="43" xfId="0" quotePrefix="1" applyFont="1" applyBorder="1" applyAlignment="1">
      <alignment horizontal="left"/>
    </xf>
    <xf numFmtId="1" fontId="74" fillId="0" borderId="0" xfId="0" applyNumberFormat="1" applyFont="1"/>
    <xf numFmtId="49" fontId="75" fillId="0" borderId="17" xfId="0" applyNumberFormat="1" applyFont="1" applyBorder="1" applyAlignment="1">
      <alignment horizontal="center"/>
    </xf>
    <xf numFmtId="0" fontId="74" fillId="0" borderId="14" xfId="0" applyFont="1" applyBorder="1" applyAlignment="1">
      <alignment horizontal="center"/>
    </xf>
    <xf numFmtId="170" fontId="91" fillId="0" borderId="0" xfId="5" applyNumberFormat="1" applyFont="1" applyAlignment="1">
      <alignment horizontal="right"/>
    </xf>
    <xf numFmtId="170" fontId="92" fillId="0" borderId="0" xfId="0" applyNumberFormat="1" applyFont="1" applyAlignment="1">
      <alignment horizontal="right"/>
    </xf>
    <xf numFmtId="169" fontId="89" fillId="0" borderId="0" xfId="0" applyNumberFormat="1" applyFont="1"/>
    <xf numFmtId="0" fontId="75" fillId="3" borderId="33" xfId="0" applyFont="1" applyFill="1" applyBorder="1"/>
    <xf numFmtId="0" fontId="75" fillId="0" borderId="33" xfId="0" applyFont="1" applyBorder="1"/>
    <xf numFmtId="0" fontId="74" fillId="0" borderId="68" xfId="0" applyFont="1" applyBorder="1" applyAlignment="1">
      <alignment wrapText="1"/>
    </xf>
    <xf numFmtId="169" fontId="75" fillId="0" borderId="0" xfId="0" applyNumberFormat="1" applyFont="1"/>
    <xf numFmtId="169" fontId="90" fillId="0" borderId="0" xfId="0" applyNumberFormat="1" applyFont="1"/>
    <xf numFmtId="0" fontId="90" fillId="0" borderId="0" xfId="0" applyFont="1"/>
    <xf numFmtId="0" fontId="75" fillId="0" borderId="0" xfId="0" applyFont="1"/>
    <xf numFmtId="0" fontId="74" fillId="4" borderId="54" xfId="0" applyFont="1" applyFill="1" applyBorder="1"/>
    <xf numFmtId="0" fontId="74" fillId="4" borderId="43" xfId="0" applyFont="1" applyFill="1" applyBorder="1" applyAlignment="1">
      <alignment wrapText="1"/>
    </xf>
    <xf numFmtId="0" fontId="74" fillId="4" borderId="12" xfId="0" applyFont="1" applyFill="1" applyBorder="1"/>
    <xf numFmtId="0" fontId="74" fillId="4" borderId="12" xfId="0" applyFont="1" applyFill="1" applyBorder="1" applyAlignment="1">
      <alignment wrapText="1"/>
    </xf>
    <xf numFmtId="169" fontId="74" fillId="4" borderId="12" xfId="0" applyNumberFormat="1" applyFont="1" applyFill="1" applyBorder="1"/>
    <xf numFmtId="169" fontId="74" fillId="4" borderId="56" xfId="0" applyNumberFormat="1" applyFont="1" applyFill="1" applyBorder="1"/>
    <xf numFmtId="169" fontId="74" fillId="4" borderId="39" xfId="0" applyNumberFormat="1" applyFont="1" applyFill="1" applyBorder="1"/>
    <xf numFmtId="169" fontId="89" fillId="0" borderId="7" xfId="0" applyNumberFormat="1" applyFont="1" applyBorder="1"/>
    <xf numFmtId="0" fontId="89" fillId="0" borderId="7" xfId="0" applyFont="1" applyBorder="1"/>
    <xf numFmtId="170" fontId="54" fillId="0" borderId="61" xfId="0" applyNumberFormat="1" applyFont="1" applyBorder="1"/>
    <xf numFmtId="164" fontId="93" fillId="0" borderId="0" xfId="0" applyNumberFormat="1" applyFont="1"/>
    <xf numFmtId="1" fontId="53" fillId="0" borderId="20" xfId="0" applyNumberFormat="1" applyFont="1" applyBorder="1" applyAlignment="1">
      <alignment horizontal="right"/>
    </xf>
    <xf numFmtId="0" fontId="53" fillId="0" borderId="20" xfId="0" applyFont="1" applyBorder="1" applyAlignment="1">
      <alignment horizontal="right"/>
    </xf>
    <xf numFmtId="170" fontId="50" fillId="0" borderId="32" xfId="0" applyNumberFormat="1" applyFont="1" applyBorder="1" applyAlignment="1">
      <alignment horizontal="left"/>
    </xf>
    <xf numFmtId="170" fontId="52" fillId="0" borderId="44" xfId="0" applyNumberFormat="1" applyFont="1" applyBorder="1" applyAlignment="1">
      <alignment horizontal="left"/>
    </xf>
    <xf numFmtId="1" fontId="53" fillId="0" borderId="45" xfId="0" applyNumberFormat="1" applyFont="1" applyBorder="1" applyAlignment="1">
      <alignment horizontal="right"/>
    </xf>
    <xf numFmtId="0" fontId="2" fillId="0" borderId="19" xfId="0" applyFont="1" applyBorder="1"/>
    <xf numFmtId="0" fontId="12" fillId="0" borderId="54" xfId="0" applyFont="1" applyBorder="1" applyAlignment="1">
      <alignment wrapText="1"/>
    </xf>
    <xf numFmtId="0" fontId="81" fillId="0" borderId="0" xfId="0" applyFont="1"/>
    <xf numFmtId="0" fontId="0" fillId="0" borderId="34" xfId="0" applyBorder="1"/>
    <xf numFmtId="170" fontId="52" fillId="0" borderId="36" xfId="0" applyNumberFormat="1" applyFont="1" applyBorder="1" applyAlignment="1">
      <alignment horizontal="right"/>
    </xf>
    <xf numFmtId="0" fontId="4" fillId="0" borderId="17" xfId="0" applyFont="1" applyBorder="1" applyAlignment="1">
      <alignment wrapText="1"/>
    </xf>
    <xf numFmtId="0" fontId="46" fillId="0" borderId="52" xfId="0" applyFont="1" applyBorder="1"/>
    <xf numFmtId="49" fontId="46" fillId="0" borderId="17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70" fontId="52" fillId="0" borderId="0" xfId="0" applyNumberFormat="1" applyFont="1" applyAlignment="1">
      <alignment horizontal="left" wrapText="1"/>
    </xf>
    <xf numFmtId="0" fontId="2" fillId="0" borderId="20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9" fontId="2" fillId="0" borderId="44" xfId="0" applyNumberFormat="1" applyFont="1" applyBorder="1"/>
    <xf numFmtId="49" fontId="2" fillId="0" borderId="8" xfId="0" applyNumberFormat="1" applyFont="1" applyBorder="1"/>
    <xf numFmtId="49" fontId="47" fillId="0" borderId="16" xfId="0" applyNumberFormat="1" applyFont="1" applyBorder="1" applyAlignment="1">
      <alignment horizontal="left" wrapText="1"/>
    </xf>
    <xf numFmtId="49" fontId="47" fillId="0" borderId="14" xfId="0" applyNumberFormat="1" applyFont="1" applyBorder="1" applyAlignment="1">
      <alignment horizontal="center"/>
    </xf>
    <xf numFmtId="49" fontId="2" fillId="0" borderId="52" xfId="0" applyNumberFormat="1" applyFont="1" applyBorder="1"/>
    <xf numFmtId="10" fontId="40" fillId="4" borderId="56" xfId="0" applyNumberFormat="1" applyFont="1" applyFill="1" applyBorder="1"/>
    <xf numFmtId="49" fontId="2" fillId="0" borderId="0" xfId="0" applyNumberFormat="1" applyFont="1"/>
    <xf numFmtId="169" fontId="40" fillId="0" borderId="34" xfId="0" applyNumberFormat="1" applyFont="1" applyBorder="1"/>
    <xf numFmtId="0" fontId="1" fillId="0" borderId="21" xfId="0" applyFont="1" applyBorder="1" applyAlignment="1">
      <alignment horizontal="center"/>
    </xf>
    <xf numFmtId="0" fontId="1" fillId="0" borderId="31" xfId="0" applyFont="1" applyBorder="1" applyAlignment="1">
      <alignment wrapText="1"/>
    </xf>
    <xf numFmtId="3" fontId="1" fillId="0" borderId="18" xfId="0" applyNumberFormat="1" applyFont="1" applyBorder="1" applyAlignment="1">
      <alignment horizontal="center"/>
    </xf>
    <xf numFmtId="3" fontId="2" fillId="0" borderId="79" xfId="0" applyNumberFormat="1" applyFont="1" applyBorder="1"/>
    <xf numFmtId="3" fontId="1" fillId="0" borderId="30" xfId="0" applyNumberFormat="1" applyFont="1" applyBorder="1" applyAlignment="1">
      <alignment horizontal="center"/>
    </xf>
    <xf numFmtId="3" fontId="1" fillId="0" borderId="26" xfId="0" applyNumberFormat="1" applyFont="1" applyBorder="1" applyAlignment="1">
      <alignment horizontal="center"/>
    </xf>
    <xf numFmtId="169" fontId="88" fillId="0" borderId="0" xfId="0" applyNumberFormat="1" applyFont="1"/>
    <xf numFmtId="170" fontId="74" fillId="0" borderId="0" xfId="0" applyNumberFormat="1" applyFont="1"/>
    <xf numFmtId="49" fontId="75" fillId="6" borderId="17" xfId="0" applyNumberFormat="1" applyFont="1" applyFill="1" applyBorder="1" applyAlignment="1">
      <alignment horizontal="center"/>
    </xf>
    <xf numFmtId="0" fontId="74" fillId="6" borderId="52" xfId="0" applyFont="1" applyFill="1" applyBorder="1" applyAlignment="1">
      <alignment wrapText="1"/>
    </xf>
    <xf numFmtId="49" fontId="75" fillId="6" borderId="18" xfId="0" applyNumberFormat="1" applyFont="1" applyFill="1" applyBorder="1" applyAlignment="1">
      <alignment horizontal="center"/>
    </xf>
    <xf numFmtId="0" fontId="74" fillId="6" borderId="26" xfId="0" applyFont="1" applyFill="1" applyBorder="1" applyAlignment="1">
      <alignment wrapText="1"/>
    </xf>
    <xf numFmtId="0" fontId="75" fillId="3" borderId="26" xfId="0" applyFont="1" applyFill="1" applyBorder="1"/>
    <xf numFmtId="0" fontId="74" fillId="0" borderId="34" xfId="0" applyFont="1" applyBorder="1"/>
    <xf numFmtId="169" fontId="89" fillId="0" borderId="34" xfId="0" applyNumberFormat="1" applyFont="1" applyBorder="1"/>
    <xf numFmtId="49" fontId="46" fillId="0" borderId="8" xfId="0" applyNumberFormat="1" applyFont="1" applyBorder="1" applyAlignment="1">
      <alignment horizontal="left" wrapText="1"/>
    </xf>
    <xf numFmtId="3" fontId="0" fillId="0" borderId="23" xfId="0" applyNumberFormat="1" applyBorder="1"/>
    <xf numFmtId="3" fontId="0" fillId="0" borderId="22" xfId="0" applyNumberFormat="1" applyBorder="1"/>
    <xf numFmtId="3" fontId="0" fillId="0" borderId="4" xfId="0" applyNumberFormat="1" applyBorder="1" applyAlignment="1">
      <alignment horizontal="right"/>
    </xf>
    <xf numFmtId="3" fontId="53" fillId="0" borderId="43" xfId="0" applyNumberFormat="1" applyFont="1" applyBorder="1" applyAlignment="1">
      <alignment horizontal="right" wrapText="1"/>
    </xf>
    <xf numFmtId="3" fontId="70" fillId="0" borderId="12" xfId="0" applyNumberFormat="1" applyFont="1" applyBorder="1" applyAlignment="1">
      <alignment horizontal="right" wrapText="1"/>
    </xf>
    <xf numFmtId="3" fontId="53" fillId="0" borderId="0" xfId="0" applyNumberFormat="1" applyFont="1" applyAlignment="1">
      <alignment horizontal="right"/>
    </xf>
    <xf numFmtId="3" fontId="48" fillId="0" borderId="30" xfId="0" applyNumberFormat="1" applyFont="1" applyBorder="1" applyAlignment="1">
      <alignment horizontal="right"/>
    </xf>
    <xf numFmtId="3" fontId="50" fillId="0" borderId="30" xfId="0" applyNumberFormat="1" applyFont="1" applyBorder="1" applyAlignment="1">
      <alignment horizontal="left"/>
    </xf>
    <xf numFmtId="3" fontId="79" fillId="7" borderId="30" xfId="0" applyNumberFormat="1" applyFont="1" applyFill="1" applyBorder="1"/>
    <xf numFmtId="3" fontId="0" fillId="0" borderId="0" xfId="0" applyNumberFormat="1"/>
    <xf numFmtId="49" fontId="94" fillId="7" borderId="8" xfId="0" applyNumberFormat="1" applyFont="1" applyFill="1" applyBorder="1" applyAlignment="1">
      <alignment horizontal="center" vertical="center"/>
    </xf>
    <xf numFmtId="0" fontId="94" fillId="7" borderId="9" xfId="0" applyFont="1" applyFill="1" applyBorder="1" applyAlignment="1">
      <alignment wrapText="1"/>
    </xf>
    <xf numFmtId="170" fontId="95" fillId="7" borderId="9" xfId="5" applyNumberFormat="1" applyFont="1" applyFill="1" applyBorder="1" applyAlignment="1">
      <alignment horizontal="right"/>
    </xf>
    <xf numFmtId="170" fontId="95" fillId="7" borderId="10" xfId="5" applyNumberFormat="1" applyFont="1" applyFill="1" applyBorder="1" applyAlignment="1">
      <alignment horizontal="right"/>
    </xf>
    <xf numFmtId="170" fontId="94" fillId="7" borderId="76" xfId="5" applyNumberFormat="1" applyFont="1" applyFill="1" applyBorder="1" applyAlignment="1">
      <alignment horizontal="right" vertical="center"/>
    </xf>
    <xf numFmtId="0" fontId="96" fillId="7" borderId="44" xfId="0" applyFont="1" applyFill="1" applyBorder="1"/>
    <xf numFmtId="0" fontId="96" fillId="7" borderId="0" xfId="0" applyFont="1" applyFill="1"/>
    <xf numFmtId="49" fontId="95" fillId="7" borderId="11" xfId="0" applyNumberFormat="1" applyFont="1" applyFill="1" applyBorder="1" applyAlignment="1">
      <alignment horizontal="center" vertical="center"/>
    </xf>
    <xf numFmtId="0" fontId="95" fillId="7" borderId="12" xfId="0" applyFont="1" applyFill="1" applyBorder="1" applyAlignment="1">
      <alignment wrapText="1"/>
    </xf>
    <xf numFmtId="170" fontId="95" fillId="7" borderId="12" xfId="5" applyNumberFormat="1" applyFont="1" applyFill="1" applyBorder="1" applyAlignment="1">
      <alignment horizontal="right"/>
    </xf>
    <xf numFmtId="170" fontId="95" fillId="7" borderId="13" xfId="5" applyNumberFormat="1" applyFont="1" applyFill="1" applyBorder="1" applyAlignment="1">
      <alignment horizontal="right"/>
    </xf>
    <xf numFmtId="170" fontId="94" fillId="7" borderId="77" xfId="5" applyNumberFormat="1" applyFont="1" applyFill="1" applyBorder="1" applyAlignment="1">
      <alignment horizontal="right" vertical="center"/>
    </xf>
    <xf numFmtId="170" fontId="98" fillId="0" borderId="31" xfId="0" applyNumberFormat="1" applyFont="1" applyBorder="1" applyAlignment="1">
      <alignment horizontal="left"/>
    </xf>
    <xf numFmtId="170" fontId="98" fillId="0" borderId="44" xfId="0" applyNumberFormat="1" applyFont="1" applyBorder="1" applyAlignment="1">
      <alignment horizontal="left"/>
    </xf>
    <xf numFmtId="170" fontId="0" fillId="0" borderId="4" xfId="0" applyNumberFormat="1" applyBorder="1"/>
    <xf numFmtId="170" fontId="98" fillId="0" borderId="33" xfId="0" applyNumberFormat="1" applyFont="1" applyBorder="1"/>
    <xf numFmtId="170" fontId="98" fillId="0" borderId="44" xfId="0" applyNumberFormat="1" applyFont="1" applyBorder="1"/>
    <xf numFmtId="170" fontId="98" fillId="0" borderId="31" xfId="0" applyNumberFormat="1" applyFont="1" applyBorder="1"/>
    <xf numFmtId="170" fontId="0" fillId="0" borderId="4" xfId="0" applyNumberFormat="1" applyBorder="1" applyAlignment="1">
      <alignment wrapText="1"/>
    </xf>
    <xf numFmtId="170" fontId="98" fillId="0" borderId="48" xfId="0" applyNumberFormat="1" applyFont="1" applyBorder="1"/>
    <xf numFmtId="170" fontId="97" fillId="0" borderId="31" xfId="0" applyNumberFormat="1" applyFont="1" applyBorder="1"/>
    <xf numFmtId="0" fontId="96" fillId="0" borderId="44" xfId="0" applyFont="1" applyBorder="1"/>
    <xf numFmtId="0" fontId="96" fillId="0" borderId="0" xfId="0" applyFont="1"/>
    <xf numFmtId="49" fontId="99" fillId="0" borderId="44" xfId="0" applyNumberFormat="1" applyFont="1" applyBorder="1"/>
    <xf numFmtId="0" fontId="99" fillId="0" borderId="0" xfId="0" applyFont="1"/>
    <xf numFmtId="49" fontId="96" fillId="0" borderId="44" xfId="0" applyNumberFormat="1" applyFont="1" applyBorder="1"/>
    <xf numFmtId="49" fontId="96" fillId="0" borderId="44" xfId="0" applyNumberFormat="1" applyFont="1" applyBorder="1" applyAlignment="1">
      <alignment wrapText="1"/>
    </xf>
    <xf numFmtId="0" fontId="96" fillId="0" borderId="0" xfId="0" applyFont="1" applyAlignment="1">
      <alignment wrapText="1"/>
    </xf>
    <xf numFmtId="49" fontId="94" fillId="0" borderId="18" xfId="0" applyNumberFormat="1" applyFont="1" applyBorder="1" applyAlignment="1">
      <alignment horizontal="center" wrapText="1"/>
    </xf>
    <xf numFmtId="0" fontId="94" fillId="0" borderId="26" xfId="0" applyFont="1" applyBorder="1" applyAlignment="1">
      <alignment horizontal="center" wrapText="1"/>
    </xf>
    <xf numFmtId="168" fontId="94" fillId="0" borderId="26" xfId="5" applyNumberFormat="1" applyFont="1" applyBorder="1" applyAlignment="1">
      <alignment horizontal="center" wrapText="1"/>
    </xf>
    <xf numFmtId="168" fontId="94" fillId="0" borderId="21" xfId="5" applyNumberFormat="1" applyFont="1" applyBorder="1" applyAlignment="1">
      <alignment horizontal="center" wrapText="1"/>
    </xf>
    <xf numFmtId="168" fontId="94" fillId="0" borderId="72" xfId="5" applyNumberFormat="1" applyFont="1" applyBorder="1" applyAlignment="1">
      <alignment horizontal="center"/>
    </xf>
    <xf numFmtId="49" fontId="94" fillId="0" borderId="14" xfId="0" applyNumberFormat="1" applyFont="1" applyBorder="1" applyAlignment="1">
      <alignment horizontal="left" wrapText="1"/>
    </xf>
    <xf numFmtId="0" fontId="94" fillId="0" borderId="5" xfId="0" applyFont="1" applyBorder="1"/>
    <xf numFmtId="170" fontId="95" fillId="0" borderId="5" xfId="5" applyNumberFormat="1" applyFont="1" applyBorder="1" applyAlignment="1">
      <alignment horizontal="right"/>
    </xf>
    <xf numFmtId="170" fontId="95" fillId="0" borderId="15" xfId="5" applyNumberFormat="1" applyFont="1" applyBorder="1" applyAlignment="1">
      <alignment horizontal="right"/>
    </xf>
    <xf numFmtId="170" fontId="94" fillId="0" borderId="27" xfId="5" applyNumberFormat="1" applyFont="1" applyBorder="1" applyAlignment="1">
      <alignment horizontal="right" vertical="center"/>
    </xf>
    <xf numFmtId="170" fontId="95" fillId="0" borderId="43" xfId="5" applyNumberFormat="1" applyFont="1" applyBorder="1" applyAlignment="1">
      <alignment horizontal="right"/>
    </xf>
    <xf numFmtId="170" fontId="95" fillId="0" borderId="55" xfId="5" applyNumberFormat="1" applyFont="1" applyBorder="1" applyAlignment="1">
      <alignment horizontal="right"/>
    </xf>
    <xf numFmtId="0" fontId="96" fillId="0" borderId="80" xfId="0" applyFont="1" applyBorder="1"/>
    <xf numFmtId="49" fontId="94" fillId="0" borderId="14" xfId="0" applyNumberFormat="1" applyFont="1" applyBorder="1" applyAlignment="1">
      <alignment horizontal="center" vertical="center"/>
    </xf>
    <xf numFmtId="0" fontId="94" fillId="0" borderId="5" xfId="0" applyFont="1" applyBorder="1" applyAlignment="1">
      <alignment wrapText="1"/>
    </xf>
    <xf numFmtId="49" fontId="95" fillId="0" borderId="11" xfId="0" applyNumberFormat="1" applyFont="1" applyBorder="1" applyAlignment="1">
      <alignment horizontal="center" vertical="center"/>
    </xf>
    <xf numFmtId="49" fontId="94" fillId="0" borderId="14" xfId="0" applyNumberFormat="1" applyFont="1" applyBorder="1" applyAlignment="1">
      <alignment horizontal="center" wrapText="1"/>
    </xf>
    <xf numFmtId="170" fontId="95" fillId="0" borderId="5" xfId="5" applyNumberFormat="1" applyFont="1" applyBorder="1" applyAlignment="1">
      <alignment horizontal="right" vertical="center" wrapText="1"/>
    </xf>
    <xf numFmtId="170" fontId="94" fillId="0" borderId="5" xfId="5" applyNumberFormat="1" applyFont="1" applyBorder="1" applyAlignment="1">
      <alignment horizontal="right" vertical="center" wrapText="1"/>
    </xf>
    <xf numFmtId="170" fontId="94" fillId="0" borderId="15" xfId="5" applyNumberFormat="1" applyFont="1" applyBorder="1" applyAlignment="1">
      <alignment horizontal="right" vertical="center" wrapText="1"/>
    </xf>
    <xf numFmtId="170" fontId="95" fillId="0" borderId="5" xfId="5" applyNumberFormat="1" applyFont="1" applyBorder="1" applyAlignment="1">
      <alignment horizontal="center" vertical="center" wrapText="1"/>
    </xf>
    <xf numFmtId="49" fontId="94" fillId="0" borderId="14" xfId="0" applyNumberFormat="1" applyFont="1" applyBorder="1" applyAlignment="1">
      <alignment horizontal="center"/>
    </xf>
    <xf numFmtId="49" fontId="95" fillId="0" borderId="54" xfId="0" applyNumberFormat="1" applyFont="1" applyBorder="1" applyAlignment="1">
      <alignment horizontal="center"/>
    </xf>
    <xf numFmtId="0" fontId="95" fillId="0" borderId="43" xfId="0" applyFont="1" applyBorder="1" applyAlignment="1">
      <alignment wrapText="1"/>
    </xf>
    <xf numFmtId="49" fontId="94" fillId="7" borderId="8" xfId="0" applyNumberFormat="1" applyFont="1" applyFill="1" applyBorder="1" applyAlignment="1">
      <alignment horizontal="center"/>
    </xf>
    <xf numFmtId="170" fontId="95" fillId="7" borderId="79" xfId="5" applyNumberFormat="1" applyFont="1" applyFill="1" applyBorder="1" applyAlignment="1">
      <alignment horizontal="right"/>
    </xf>
    <xf numFmtId="49" fontId="95" fillId="7" borderId="16" xfId="0" applyNumberFormat="1" applyFont="1" applyFill="1" applyBorder="1" applyAlignment="1">
      <alignment horizontal="center"/>
    </xf>
    <xf numFmtId="0" fontId="95" fillId="7" borderId="4" xfId="0" applyFont="1" applyFill="1" applyBorder="1" applyAlignment="1">
      <alignment wrapText="1"/>
    </xf>
    <xf numFmtId="170" fontId="95" fillId="7" borderId="4" xfId="5" applyNumberFormat="1" applyFont="1" applyFill="1" applyBorder="1" applyAlignment="1">
      <alignment horizontal="right"/>
    </xf>
    <xf numFmtId="170" fontId="95" fillId="7" borderId="62" xfId="5" applyNumberFormat="1" applyFont="1" applyFill="1" applyBorder="1" applyAlignment="1">
      <alignment horizontal="right"/>
    </xf>
    <xf numFmtId="170" fontId="94" fillId="7" borderId="41" xfId="5" applyNumberFormat="1" applyFont="1" applyFill="1" applyBorder="1" applyAlignment="1">
      <alignment horizontal="right" vertical="center"/>
    </xf>
    <xf numFmtId="170" fontId="100" fillId="7" borderId="9" xfId="5" applyNumberFormat="1" applyFont="1" applyFill="1" applyBorder="1" applyAlignment="1">
      <alignment horizontal="right"/>
    </xf>
    <xf numFmtId="170" fontId="100" fillId="7" borderId="79" xfId="5" applyNumberFormat="1" applyFont="1" applyFill="1" applyBorder="1" applyAlignment="1">
      <alignment horizontal="right"/>
    </xf>
    <xf numFmtId="170" fontId="101" fillId="7" borderId="76" xfId="5" applyNumberFormat="1" applyFont="1" applyFill="1" applyBorder="1" applyAlignment="1">
      <alignment horizontal="right" vertical="center"/>
    </xf>
    <xf numFmtId="0" fontId="102" fillId="7" borderId="44" xfId="0" applyFont="1" applyFill="1" applyBorder="1"/>
    <xf numFmtId="0" fontId="102" fillId="7" borderId="0" xfId="0" applyFont="1" applyFill="1"/>
    <xf numFmtId="170" fontId="94" fillId="0" borderId="6" xfId="0" applyNumberFormat="1" applyFont="1" applyBorder="1" applyAlignment="1">
      <alignment horizontal="right"/>
    </xf>
    <xf numFmtId="170" fontId="94" fillId="0" borderId="7" xfId="0" applyNumberFormat="1" applyFont="1" applyBorder="1" applyAlignment="1">
      <alignment horizontal="right"/>
    </xf>
    <xf numFmtId="0" fontId="95" fillId="0" borderId="44" xfId="0" applyFont="1" applyBorder="1"/>
    <xf numFmtId="168" fontId="95" fillId="0" borderId="0" xfId="0" applyNumberFormat="1" applyFont="1"/>
    <xf numFmtId="0" fontId="95" fillId="0" borderId="0" xfId="0" applyFont="1"/>
    <xf numFmtId="49" fontId="96" fillId="0" borderId="43" xfId="0" applyNumberFormat="1" applyFont="1" applyBorder="1"/>
    <xf numFmtId="0" fontId="94" fillId="0" borderId="43" xfId="0" applyFont="1" applyBorder="1" applyAlignment="1">
      <alignment wrapText="1"/>
    </xf>
    <xf numFmtId="170" fontId="103" fillId="0" borderId="43" xfId="0" applyNumberFormat="1" applyFont="1" applyBorder="1"/>
    <xf numFmtId="170" fontId="96" fillId="0" borderId="0" xfId="0" applyNumberFormat="1" applyFont="1"/>
    <xf numFmtId="49" fontId="104" fillId="0" borderId="12" xfId="0" applyNumberFormat="1" applyFont="1" applyBorder="1" applyAlignment="1">
      <alignment horizontal="center" vertical="top"/>
    </xf>
    <xf numFmtId="170" fontId="103" fillId="0" borderId="12" xfId="0" applyNumberFormat="1" applyFont="1" applyBorder="1"/>
    <xf numFmtId="49" fontId="96" fillId="0" borderId="0" xfId="0" applyNumberFormat="1" applyFont="1"/>
    <xf numFmtId="169" fontId="96" fillId="0" borderId="0" xfId="0" applyNumberFormat="1" applyFont="1" applyAlignment="1">
      <alignment horizontal="left"/>
    </xf>
    <xf numFmtId="169" fontId="96" fillId="0" borderId="0" xfId="0" applyNumberFormat="1" applyFont="1"/>
    <xf numFmtId="49" fontId="103" fillId="0" borderId="0" xfId="0" applyNumberFormat="1" applyFont="1" applyAlignment="1">
      <alignment wrapText="1"/>
    </xf>
    <xf numFmtId="169" fontId="103" fillId="0" borderId="0" xfId="0" applyNumberFormat="1" applyFont="1" applyAlignment="1">
      <alignment horizontal="left"/>
    </xf>
    <xf numFmtId="169" fontId="103" fillId="0" borderId="0" xfId="0" applyNumberFormat="1" applyFont="1"/>
    <xf numFmtId="49" fontId="96" fillId="0" borderId="0" xfId="0" applyNumberFormat="1" applyFont="1" applyAlignment="1">
      <alignment wrapText="1"/>
    </xf>
    <xf numFmtId="49" fontId="103" fillId="0" borderId="0" xfId="0" applyNumberFormat="1" applyFont="1"/>
    <xf numFmtId="0" fontId="74" fillId="0" borderId="9" xfId="0" applyFont="1" applyBorder="1" applyAlignment="1">
      <alignment wrapText="1"/>
    </xf>
    <xf numFmtId="0" fontId="74" fillId="7" borderId="44" xfId="0" applyFont="1" applyFill="1" applyBorder="1"/>
    <xf numFmtId="0" fontId="74" fillId="7" borderId="0" xfId="0" applyFont="1" applyFill="1"/>
    <xf numFmtId="3" fontId="75" fillId="0" borderId="4" xfId="5" applyNumberFormat="1" applyFont="1" applyBorder="1" applyAlignment="1">
      <alignment horizontal="center" wrapText="1"/>
    </xf>
    <xf numFmtId="3" fontId="75" fillId="0" borderId="62" xfId="5" applyNumberFormat="1" applyFont="1" applyBorder="1" applyAlignment="1">
      <alignment horizontal="center" wrapText="1"/>
    </xf>
    <xf numFmtId="3" fontId="75" fillId="4" borderId="27" xfId="5" applyNumberFormat="1" applyFont="1" applyFill="1" applyBorder="1" applyAlignment="1">
      <alignment horizontal="center"/>
    </xf>
    <xf numFmtId="3" fontId="74" fillId="0" borderId="4" xfId="5" applyNumberFormat="1" applyFont="1" applyBorder="1" applyAlignment="1">
      <alignment horizontal="right"/>
    </xf>
    <xf numFmtId="3" fontId="74" fillId="0" borderId="62" xfId="5" applyNumberFormat="1" applyFont="1" applyBorder="1" applyAlignment="1">
      <alignment horizontal="right"/>
    </xf>
    <xf numFmtId="3" fontId="74" fillId="0" borderId="12" xfId="5" applyNumberFormat="1" applyFont="1" applyBorder="1" applyAlignment="1">
      <alignment horizontal="right"/>
    </xf>
    <xf numFmtId="3" fontId="74" fillId="0" borderId="56" xfId="5" applyNumberFormat="1" applyFont="1" applyBorder="1" applyAlignment="1">
      <alignment horizontal="right"/>
    </xf>
    <xf numFmtId="3" fontId="75" fillId="4" borderId="27" xfId="5" applyNumberFormat="1" applyFont="1" applyFill="1" applyBorder="1" applyAlignment="1">
      <alignment horizontal="right" vertical="center"/>
    </xf>
    <xf numFmtId="3" fontId="74" fillId="0" borderId="4" xfId="5" applyNumberFormat="1" applyFont="1" applyBorder="1" applyAlignment="1">
      <alignment horizontal="right" vertical="center" wrapText="1"/>
    </xf>
    <xf numFmtId="3" fontId="75" fillId="0" borderId="4" xfId="5" applyNumberFormat="1" applyFont="1" applyBorder="1" applyAlignment="1">
      <alignment horizontal="right" vertical="center" wrapText="1"/>
    </xf>
    <xf numFmtId="3" fontId="75" fillId="0" borderId="62" xfId="5" applyNumberFormat="1" applyFont="1" applyBorder="1" applyAlignment="1">
      <alignment horizontal="right" vertical="center" wrapText="1"/>
    </xf>
    <xf numFmtId="3" fontId="74" fillId="0" borderId="9" xfId="5" applyNumberFormat="1" applyFont="1" applyBorder="1" applyAlignment="1">
      <alignment horizontal="right"/>
    </xf>
    <xf numFmtId="3" fontId="74" fillId="0" borderId="10" xfId="5" applyNumberFormat="1" applyFont="1" applyBorder="1" applyAlignment="1">
      <alignment horizontal="right"/>
    </xf>
    <xf numFmtId="3" fontId="75" fillId="4" borderId="76" xfId="5" applyNumberFormat="1" applyFont="1" applyFill="1" applyBorder="1" applyAlignment="1">
      <alignment horizontal="right" vertical="center"/>
    </xf>
    <xf numFmtId="3" fontId="75" fillId="5" borderId="77" xfId="5" applyNumberFormat="1" applyFont="1" applyFill="1" applyBorder="1" applyAlignment="1">
      <alignment horizontal="right" vertical="center"/>
    </xf>
    <xf numFmtId="3" fontId="89" fillId="0" borderId="5" xfId="5" applyNumberFormat="1" applyFont="1" applyBorder="1" applyAlignment="1">
      <alignment horizontal="right"/>
    </xf>
    <xf numFmtId="3" fontId="89" fillId="0" borderId="60" xfId="5" applyNumberFormat="1" applyFont="1" applyBorder="1" applyAlignment="1">
      <alignment horizontal="right"/>
    </xf>
    <xf numFmtId="3" fontId="89" fillId="0" borderId="4" xfId="5" applyNumberFormat="1" applyFont="1" applyBorder="1" applyAlignment="1">
      <alignment horizontal="right"/>
    </xf>
    <xf numFmtId="3" fontId="74" fillId="0" borderId="5" xfId="5" applyNumberFormat="1" applyFont="1" applyBorder="1" applyAlignment="1">
      <alignment horizontal="right"/>
    </xf>
    <xf numFmtId="3" fontId="74" fillId="0" borderId="60" xfId="5" applyNumberFormat="1" applyFont="1" applyBorder="1" applyAlignment="1">
      <alignment horizontal="right"/>
    </xf>
    <xf numFmtId="3" fontId="75" fillId="3" borderId="26" xfId="0" applyNumberFormat="1" applyFont="1" applyFill="1" applyBorder="1" applyAlignment="1">
      <alignment horizontal="right"/>
    </xf>
    <xf numFmtId="3" fontId="75" fillId="3" borderId="21" xfId="0" applyNumberFormat="1" applyFont="1" applyFill="1" applyBorder="1" applyAlignment="1">
      <alignment horizontal="right"/>
    </xf>
    <xf numFmtId="3" fontId="75" fillId="3" borderId="31" xfId="0" applyNumberFormat="1" applyFont="1" applyFill="1" applyBorder="1" applyAlignment="1">
      <alignment horizontal="right"/>
    </xf>
    <xf numFmtId="3" fontId="75" fillId="3" borderId="68" xfId="0" applyNumberFormat="1" applyFont="1" applyFill="1" applyBorder="1" applyAlignment="1">
      <alignment horizontal="right"/>
    </xf>
    <xf numFmtId="3" fontId="75" fillId="3" borderId="69" xfId="0" applyNumberFormat="1" applyFont="1" applyFill="1" applyBorder="1" applyAlignment="1">
      <alignment horizontal="right"/>
    </xf>
    <xf numFmtId="3" fontId="75" fillId="3" borderId="72" xfId="0" applyNumberFormat="1" applyFont="1" applyFill="1" applyBorder="1" applyAlignment="1">
      <alignment horizontal="right"/>
    </xf>
    <xf numFmtId="3" fontId="75" fillId="0" borderId="68" xfId="0" applyNumberFormat="1" applyFont="1" applyBorder="1" applyAlignment="1">
      <alignment horizontal="right"/>
    </xf>
    <xf numFmtId="3" fontId="75" fillId="0" borderId="69" xfId="0" applyNumberFormat="1" applyFont="1" applyBorder="1" applyAlignment="1">
      <alignment horizontal="right"/>
    </xf>
    <xf numFmtId="3" fontId="75" fillId="0" borderId="33" xfId="0" applyNumberFormat="1" applyFont="1" applyBorder="1" applyAlignment="1">
      <alignment horizontal="right"/>
    </xf>
    <xf numFmtId="3" fontId="75" fillId="0" borderId="46" xfId="0" applyNumberFormat="1" applyFont="1" applyBorder="1" applyAlignment="1">
      <alignment horizontal="right"/>
    </xf>
    <xf numFmtId="3" fontId="74" fillId="0" borderId="9" xfId="0" applyNumberFormat="1" applyFont="1" applyBorder="1"/>
    <xf numFmtId="3" fontId="74" fillId="0" borderId="79" xfId="0" applyNumberFormat="1" applyFont="1" applyBorder="1"/>
    <xf numFmtId="3" fontId="75" fillId="4" borderId="78" xfId="0" applyNumberFormat="1" applyFont="1" applyFill="1" applyBorder="1"/>
    <xf numFmtId="3" fontId="74" fillId="0" borderId="43" xfId="5" applyNumberFormat="1" applyFont="1" applyBorder="1" applyAlignment="1">
      <alignment horizontal="right"/>
    </xf>
    <xf numFmtId="3" fontId="74" fillId="0" borderId="43" xfId="0" applyNumberFormat="1" applyFont="1" applyBorder="1"/>
    <xf numFmtId="3" fontId="74" fillId="0" borderId="61" xfId="0" applyNumberFormat="1" applyFont="1" applyBorder="1"/>
    <xf numFmtId="3" fontId="75" fillId="4" borderId="44" xfId="0" applyNumberFormat="1" applyFont="1" applyFill="1" applyBorder="1"/>
    <xf numFmtId="3" fontId="74" fillId="0" borderId="12" xfId="0" applyNumberFormat="1" applyFont="1" applyBorder="1"/>
    <xf numFmtId="3" fontId="74" fillId="0" borderId="56" xfId="0" applyNumberFormat="1" applyFont="1" applyBorder="1"/>
    <xf numFmtId="3" fontId="75" fillId="4" borderId="77" xfId="0" applyNumberFormat="1" applyFont="1" applyFill="1" applyBorder="1"/>
    <xf numFmtId="3" fontId="74" fillId="0" borderId="44" xfId="5" applyNumberFormat="1" applyFont="1" applyBorder="1" applyAlignment="1">
      <alignment horizontal="right"/>
    </xf>
    <xf numFmtId="3" fontId="74" fillId="0" borderId="6" xfId="5" applyNumberFormat="1" applyFont="1" applyBorder="1" applyAlignment="1">
      <alignment horizontal="right"/>
    </xf>
    <xf numFmtId="3" fontId="74" fillId="0" borderId="7" xfId="5" applyNumberFormat="1" applyFont="1" applyBorder="1" applyAlignment="1">
      <alignment horizontal="right"/>
    </xf>
    <xf numFmtId="3" fontId="74" fillId="0" borderId="78" xfId="5" applyNumberFormat="1" applyFont="1" applyBorder="1" applyAlignment="1">
      <alignment horizontal="right"/>
    </xf>
    <xf numFmtId="3" fontId="74" fillId="0" borderId="9" xfId="5" applyNumberFormat="1" applyFont="1" applyBorder="1" applyAlignment="1">
      <alignment horizontal="right" vertical="center" wrapText="1"/>
    </xf>
    <xf numFmtId="3" fontId="74" fillId="0" borderId="79" xfId="5" applyNumberFormat="1" applyFont="1" applyBorder="1" applyAlignment="1">
      <alignment horizontal="right"/>
    </xf>
    <xf numFmtId="3" fontId="75" fillId="4" borderId="27" xfId="5" applyNumberFormat="1" applyFont="1" applyFill="1" applyBorder="1" applyAlignment="1">
      <alignment horizontal="right"/>
    </xf>
    <xf numFmtId="3" fontId="74" fillId="0" borderId="61" xfId="5" applyNumberFormat="1" applyFont="1" applyBorder="1" applyAlignment="1">
      <alignment horizontal="right"/>
    </xf>
    <xf numFmtId="3" fontId="75" fillId="3" borderId="33" xfId="0" applyNumberFormat="1" applyFont="1" applyFill="1" applyBorder="1" applyAlignment="1">
      <alignment horizontal="right"/>
    </xf>
    <xf numFmtId="3" fontId="75" fillId="0" borderId="12" xfId="0" applyNumberFormat="1" applyFont="1" applyBorder="1" applyAlignment="1">
      <alignment horizontal="right"/>
    </xf>
    <xf numFmtId="3" fontId="75" fillId="0" borderId="56" xfId="0" applyNumberFormat="1" applyFont="1" applyBorder="1" applyAlignment="1">
      <alignment horizontal="right"/>
    </xf>
    <xf numFmtId="3" fontId="75" fillId="0" borderId="78" xfId="0" applyNumberFormat="1" applyFont="1" applyBorder="1" applyAlignment="1">
      <alignment horizontal="right"/>
    </xf>
    <xf numFmtId="3" fontId="75" fillId="3" borderId="6" xfId="0" applyNumberFormat="1" applyFont="1" applyFill="1" applyBorder="1" applyAlignment="1">
      <alignment horizontal="right"/>
    </xf>
    <xf numFmtId="3" fontId="75" fillId="3" borderId="7" xfId="0" applyNumberFormat="1" applyFont="1" applyFill="1" applyBorder="1" applyAlignment="1">
      <alignment horizontal="right"/>
    </xf>
    <xf numFmtId="3" fontId="75" fillId="3" borderId="44" xfId="0" applyNumberFormat="1" applyFont="1" applyFill="1" applyBorder="1" applyAlignment="1">
      <alignment horizontal="right"/>
    </xf>
    <xf numFmtId="3" fontId="75" fillId="3" borderId="12" xfId="0" applyNumberFormat="1" applyFont="1" applyFill="1" applyBorder="1" applyAlignment="1">
      <alignment horizontal="right"/>
    </xf>
    <xf numFmtId="3" fontId="75" fillId="3" borderId="56" xfId="0" applyNumberFormat="1" applyFont="1" applyFill="1" applyBorder="1" applyAlignment="1">
      <alignment horizontal="right"/>
    </xf>
    <xf numFmtId="3" fontId="75" fillId="3" borderId="78" xfId="0" applyNumberFormat="1" applyFont="1" applyFill="1" applyBorder="1" applyAlignment="1">
      <alignment horizontal="right"/>
    </xf>
    <xf numFmtId="3" fontId="74" fillId="0" borderId="9" xfId="5" applyNumberFormat="1" applyFont="1" applyBorder="1" applyAlignment="1">
      <alignment horizontal="center" wrapText="1"/>
    </xf>
    <xf numFmtId="3" fontId="74" fillId="0" borderId="79" xfId="5" applyNumberFormat="1" applyFont="1" applyBorder="1" applyAlignment="1">
      <alignment horizontal="center" wrapText="1"/>
    </xf>
    <xf numFmtId="3" fontId="74" fillId="4" borderId="10" xfId="5" applyNumberFormat="1" applyFont="1" applyFill="1" applyBorder="1" applyAlignment="1">
      <alignment horizontal="right"/>
    </xf>
    <xf numFmtId="3" fontId="74" fillId="4" borderId="13" xfId="5" applyNumberFormat="1" applyFont="1" applyFill="1" applyBorder="1" applyAlignment="1">
      <alignment horizontal="right"/>
    </xf>
    <xf numFmtId="3" fontId="74" fillId="0" borderId="4" xfId="5" applyNumberFormat="1" applyFont="1" applyBorder="1" applyAlignment="1">
      <alignment horizontal="center" wrapText="1"/>
    </xf>
    <xf numFmtId="3" fontId="74" fillId="0" borderId="62" xfId="5" applyNumberFormat="1" applyFont="1" applyBorder="1" applyAlignment="1">
      <alignment horizontal="center" wrapText="1"/>
    </xf>
    <xf numFmtId="3" fontId="74" fillId="4" borderId="23" xfId="5" applyNumberFormat="1" applyFont="1" applyFill="1" applyBorder="1" applyAlignment="1">
      <alignment horizontal="right"/>
    </xf>
    <xf numFmtId="3" fontId="74" fillId="0" borderId="43" xfId="5" applyNumberFormat="1" applyFont="1" applyBorder="1" applyAlignment="1">
      <alignment horizontal="center" wrapText="1"/>
    </xf>
    <xf numFmtId="3" fontId="74" fillId="0" borderId="61" xfId="5" applyNumberFormat="1" applyFont="1" applyBorder="1" applyAlignment="1">
      <alignment horizontal="center" wrapText="1"/>
    </xf>
    <xf numFmtId="3" fontId="46" fillId="0" borderId="9" xfId="5" applyNumberFormat="1" applyFont="1" applyBorder="1" applyAlignment="1">
      <alignment horizontal="center" wrapText="1"/>
    </xf>
    <xf numFmtId="3" fontId="46" fillId="4" borderId="10" xfId="5" applyNumberFormat="1" applyFont="1" applyFill="1" applyBorder="1" applyAlignment="1">
      <alignment horizontal="right"/>
    </xf>
    <xf numFmtId="3" fontId="46" fillId="0" borderId="12" xfId="5" applyNumberFormat="1" applyFont="1" applyBorder="1" applyAlignment="1">
      <alignment horizontal="center" wrapText="1"/>
    </xf>
    <xf numFmtId="3" fontId="46" fillId="4" borderId="13" xfId="5" applyNumberFormat="1" applyFont="1" applyFill="1" applyBorder="1" applyAlignment="1">
      <alignment horizontal="right"/>
    </xf>
    <xf numFmtId="3" fontId="74" fillId="0" borderId="4" xfId="0" applyNumberFormat="1" applyFont="1" applyBorder="1" applyAlignment="1">
      <alignment horizontal="right"/>
    </xf>
    <xf numFmtId="3" fontId="74" fillId="0" borderId="12" xfId="0" applyNumberFormat="1" applyFont="1" applyBorder="1" applyAlignment="1">
      <alignment horizontal="right"/>
    </xf>
    <xf numFmtId="3" fontId="74" fillId="0" borderId="62" xfId="0" applyNumberFormat="1" applyFont="1" applyBorder="1" applyAlignment="1">
      <alignment horizontal="right"/>
    </xf>
    <xf numFmtId="3" fontId="74" fillId="0" borderId="56" xfId="0" applyNumberFormat="1" applyFont="1" applyBorder="1" applyAlignment="1">
      <alignment horizontal="right"/>
    </xf>
    <xf numFmtId="3" fontId="74" fillId="0" borderId="4" xfId="5" quotePrefix="1" applyNumberFormat="1" applyFont="1" applyBorder="1" applyAlignment="1">
      <alignment horizontal="right"/>
    </xf>
    <xf numFmtId="3" fontId="74" fillId="0" borderId="5" xfId="0" applyNumberFormat="1" applyFont="1" applyBorder="1" applyAlignment="1">
      <alignment horizontal="right"/>
    </xf>
    <xf numFmtId="3" fontId="74" fillId="0" borderId="60" xfId="0" applyNumberFormat="1" applyFont="1" applyBorder="1" applyAlignment="1">
      <alignment horizontal="right"/>
    </xf>
    <xf numFmtId="3" fontId="74" fillId="4" borderId="15" xfId="5" applyNumberFormat="1" applyFont="1" applyFill="1" applyBorder="1" applyAlignment="1">
      <alignment horizontal="right"/>
    </xf>
    <xf numFmtId="3" fontId="75" fillId="0" borderId="26" xfId="0" applyNumberFormat="1" applyFont="1" applyBorder="1" applyAlignment="1">
      <alignment horizontal="right"/>
    </xf>
    <xf numFmtId="3" fontId="75" fillId="0" borderId="21" xfId="0" applyNumberFormat="1" applyFont="1" applyBorder="1" applyAlignment="1">
      <alignment horizontal="right"/>
    </xf>
    <xf numFmtId="3" fontId="74" fillId="4" borderId="21" xfId="5" applyNumberFormat="1" applyFont="1" applyFill="1" applyBorder="1" applyAlignment="1">
      <alignment horizontal="right"/>
    </xf>
    <xf numFmtId="3" fontId="75" fillId="0" borderId="6" xfId="0" applyNumberFormat="1" applyFont="1" applyBorder="1" applyAlignment="1">
      <alignment horizontal="right"/>
    </xf>
    <xf numFmtId="3" fontId="75" fillId="0" borderId="7" xfId="0" applyNumberFormat="1" applyFont="1" applyBorder="1" applyAlignment="1">
      <alignment horizontal="right"/>
    </xf>
    <xf numFmtId="3" fontId="75" fillId="0" borderId="9" xfId="0" applyNumberFormat="1" applyFont="1" applyBorder="1" applyAlignment="1">
      <alignment horizontal="right"/>
    </xf>
    <xf numFmtId="3" fontId="74" fillId="4" borderId="79" xfId="5" applyNumberFormat="1" applyFont="1" applyFill="1" applyBorder="1" applyAlignment="1">
      <alignment horizontal="right"/>
    </xf>
    <xf numFmtId="3" fontId="74" fillId="0" borderId="4" xfId="0" applyNumberFormat="1" applyFont="1" applyBorder="1"/>
    <xf numFmtId="3" fontId="74" fillId="4" borderId="62" xfId="5" applyNumberFormat="1" applyFont="1" applyFill="1" applyBorder="1" applyAlignment="1">
      <alignment horizontal="right"/>
    </xf>
    <xf numFmtId="3" fontId="74" fillId="4" borderId="61" xfId="5" applyNumberFormat="1" applyFont="1" applyFill="1" applyBorder="1" applyAlignment="1">
      <alignment horizontal="right"/>
    </xf>
    <xf numFmtId="3" fontId="75" fillId="6" borderId="68" xfId="5" applyNumberFormat="1" applyFont="1" applyFill="1" applyBorder="1" applyAlignment="1">
      <alignment horizontal="right"/>
    </xf>
    <xf numFmtId="3" fontId="75" fillId="6" borderId="69" xfId="5" applyNumberFormat="1" applyFont="1" applyFill="1" applyBorder="1" applyAlignment="1">
      <alignment horizontal="right"/>
    </xf>
    <xf numFmtId="3" fontId="74" fillId="6" borderId="69" xfId="5" applyNumberFormat="1" applyFont="1" applyFill="1" applyBorder="1" applyAlignment="1">
      <alignment horizontal="right"/>
    </xf>
    <xf numFmtId="3" fontId="75" fillId="6" borderId="26" xfId="5" applyNumberFormat="1" applyFont="1" applyFill="1" applyBorder="1" applyAlignment="1">
      <alignment horizontal="right"/>
    </xf>
    <xf numFmtId="3" fontId="75" fillId="6" borderId="22" xfId="5" applyNumberFormat="1" applyFont="1" applyFill="1" applyBorder="1" applyAlignment="1">
      <alignment horizontal="right"/>
    </xf>
    <xf numFmtId="3" fontId="75" fillId="6" borderId="52" xfId="5" applyNumberFormat="1" applyFont="1" applyFill="1" applyBorder="1" applyAlignment="1">
      <alignment horizontal="right"/>
    </xf>
    <xf numFmtId="3" fontId="75" fillId="6" borderId="64" xfId="5" applyNumberFormat="1" applyFont="1" applyFill="1" applyBorder="1" applyAlignment="1">
      <alignment horizontal="right"/>
    </xf>
    <xf numFmtId="3" fontId="75" fillId="0" borderId="12" xfId="5" applyNumberFormat="1" applyFont="1" applyBorder="1" applyAlignment="1">
      <alignment horizontal="right"/>
    </xf>
    <xf numFmtId="3" fontId="75" fillId="0" borderId="56" xfId="5" applyNumberFormat="1" applyFont="1" applyBorder="1" applyAlignment="1">
      <alignment horizontal="right"/>
    </xf>
    <xf numFmtId="3" fontId="74" fillId="0" borderId="9" xfId="0" applyNumberFormat="1" applyFont="1" applyBorder="1" applyAlignment="1">
      <alignment horizontal="right"/>
    </xf>
    <xf numFmtId="3" fontId="74" fillId="0" borderId="61" xfId="0" applyNumberFormat="1" applyFont="1" applyBorder="1" applyAlignment="1">
      <alignment horizontal="right"/>
    </xf>
    <xf numFmtId="3" fontId="74" fillId="4" borderId="56" xfId="5" applyNumberFormat="1" applyFont="1" applyFill="1" applyBorder="1" applyAlignment="1">
      <alignment horizontal="right"/>
    </xf>
    <xf numFmtId="3" fontId="74" fillId="0" borderId="79" xfId="0" applyNumberFormat="1" applyFont="1" applyBorder="1" applyAlignment="1">
      <alignment horizontal="right"/>
    </xf>
    <xf numFmtId="3" fontId="74" fillId="0" borderId="4" xfId="5" applyNumberFormat="1" applyFont="1" applyBorder="1" applyAlignment="1">
      <alignment horizontal="center" vertical="center" wrapText="1"/>
    </xf>
    <xf numFmtId="3" fontId="74" fillId="3" borderId="22" xfId="5" applyNumberFormat="1" applyFont="1" applyFill="1" applyBorder="1" applyAlignment="1">
      <alignment horizontal="right"/>
    </xf>
    <xf numFmtId="3" fontId="75" fillId="3" borderId="70" xfId="0" applyNumberFormat="1" applyFont="1" applyFill="1" applyBorder="1" applyAlignment="1">
      <alignment horizontal="right"/>
    </xf>
    <xf numFmtId="3" fontId="75" fillId="0" borderId="22" xfId="0" applyNumberFormat="1" applyFont="1" applyBorder="1" applyAlignment="1">
      <alignment horizontal="right"/>
    </xf>
    <xf numFmtId="3" fontId="75" fillId="4" borderId="9" xfId="0" applyNumberFormat="1" applyFont="1" applyFill="1" applyBorder="1"/>
    <xf numFmtId="3" fontId="74" fillId="4" borderId="43" xfId="0" applyNumberFormat="1" applyFont="1" applyFill="1" applyBorder="1"/>
    <xf numFmtId="3" fontId="74" fillId="4" borderId="55" xfId="0" applyNumberFormat="1" applyFont="1" applyFill="1" applyBorder="1"/>
    <xf numFmtId="49" fontId="74" fillId="7" borderId="8" xfId="0" applyNumberFormat="1" applyFont="1" applyFill="1" applyBorder="1" applyAlignment="1">
      <alignment horizontal="center" vertical="center"/>
    </xf>
    <xf numFmtId="0" fontId="74" fillId="7" borderId="9" xfId="0" applyFont="1" applyFill="1" applyBorder="1" applyAlignment="1">
      <alignment wrapText="1"/>
    </xf>
    <xf numFmtId="3" fontId="74" fillId="7" borderId="9" xfId="5" applyNumberFormat="1" applyFont="1" applyFill="1" applyBorder="1" applyAlignment="1">
      <alignment horizontal="right"/>
    </xf>
    <xf numFmtId="3" fontId="74" fillId="7" borderId="10" xfId="5" applyNumberFormat="1" applyFont="1" applyFill="1" applyBorder="1" applyAlignment="1">
      <alignment horizontal="right"/>
    </xf>
    <xf numFmtId="3" fontId="75" fillId="5" borderId="76" xfId="5" applyNumberFormat="1" applyFont="1" applyFill="1" applyBorder="1" applyAlignment="1">
      <alignment horizontal="right" vertical="center"/>
    </xf>
    <xf numFmtId="3" fontId="40" fillId="0" borderId="9" xfId="0" applyNumberFormat="1" applyFont="1" applyBorder="1"/>
    <xf numFmtId="3" fontId="40" fillId="0" borderId="79" xfId="0" applyNumberFormat="1" applyFont="1" applyBorder="1"/>
    <xf numFmtId="3" fontId="46" fillId="0" borderId="4" xfId="5" applyNumberFormat="1" applyFont="1" applyBorder="1" applyAlignment="1">
      <alignment horizontal="center" wrapText="1"/>
    </xf>
    <xf numFmtId="3" fontId="46" fillId="4" borderId="62" xfId="5" applyNumberFormat="1" applyFont="1" applyFill="1" applyBorder="1" applyAlignment="1">
      <alignment horizontal="right"/>
    </xf>
    <xf numFmtId="3" fontId="46" fillId="0" borderId="43" xfId="5" applyNumberFormat="1" applyFont="1" applyBorder="1" applyAlignment="1">
      <alignment horizontal="center" wrapText="1"/>
    </xf>
    <xf numFmtId="3" fontId="46" fillId="0" borderId="4" xfId="5" applyNumberFormat="1" applyFont="1" applyBorder="1" applyAlignment="1">
      <alignment horizontal="right"/>
    </xf>
    <xf numFmtId="3" fontId="46" fillId="0" borderId="4" xfId="0" applyNumberFormat="1" applyFont="1" applyBorder="1" applyAlignment="1">
      <alignment horizontal="right"/>
    </xf>
    <xf numFmtId="3" fontId="46" fillId="0" borderId="52" xfId="5" applyNumberFormat="1" applyFont="1" applyBorder="1" applyAlignment="1">
      <alignment horizontal="right"/>
    </xf>
    <xf numFmtId="3" fontId="46" fillId="0" borderId="52" xfId="0" applyNumberFormat="1" applyFont="1" applyBorder="1" applyAlignment="1">
      <alignment horizontal="right"/>
    </xf>
    <xf numFmtId="3" fontId="46" fillId="0" borderId="4" xfId="5" quotePrefix="1" applyNumberFormat="1" applyFont="1" applyBorder="1" applyAlignment="1">
      <alignment horizontal="right"/>
    </xf>
    <xf numFmtId="3" fontId="46" fillId="0" borderId="5" xfId="5" applyNumberFormat="1" applyFont="1" applyBorder="1" applyAlignment="1">
      <alignment horizontal="right"/>
    </xf>
    <xf numFmtId="3" fontId="46" fillId="0" borderId="5" xfId="0" applyNumberFormat="1" applyFont="1" applyBorder="1" applyAlignment="1">
      <alignment horizontal="right"/>
    </xf>
    <xf numFmtId="3" fontId="46" fillId="4" borderId="60" xfId="5" applyNumberFormat="1" applyFont="1" applyFill="1" applyBorder="1" applyAlignment="1">
      <alignment horizontal="right"/>
    </xf>
    <xf numFmtId="3" fontId="9" fillId="0" borderId="23" xfId="0" applyNumberFormat="1" applyFont="1" applyBorder="1"/>
    <xf numFmtId="3" fontId="4" fillId="0" borderId="20" xfId="0" applyNumberFormat="1" applyFont="1" applyBorder="1"/>
    <xf numFmtId="3" fontId="4" fillId="0" borderId="4" xfId="0" applyNumberFormat="1" applyFont="1" applyBorder="1"/>
    <xf numFmtId="3" fontId="5" fillId="0" borderId="26" xfId="0" applyNumberFormat="1" applyFont="1" applyBorder="1"/>
    <xf numFmtId="0" fontId="4" fillId="0" borderId="33" xfId="0" applyFont="1" applyBorder="1" applyAlignment="1">
      <alignment horizontal="right"/>
    </xf>
    <xf numFmtId="0" fontId="97" fillId="0" borderId="31" xfId="0" applyFont="1" applyBorder="1" applyAlignment="1">
      <alignment horizontal="left" wrapText="1"/>
    </xf>
    <xf numFmtId="0" fontId="4" fillId="0" borderId="78" xfId="0" applyFont="1" applyBorder="1" applyAlignment="1">
      <alignment horizontal="right"/>
    </xf>
    <xf numFmtId="3" fontId="12" fillId="0" borderId="68" xfId="0" applyNumberFormat="1" applyFont="1" applyBorder="1" applyAlignment="1">
      <alignment horizontal="left"/>
    </xf>
    <xf numFmtId="3" fontId="12" fillId="0" borderId="13" xfId="0" applyNumberFormat="1" applyFont="1" applyBorder="1" applyAlignment="1">
      <alignment horizontal="left"/>
    </xf>
    <xf numFmtId="3" fontId="97" fillId="0" borderId="22" xfId="0" applyNumberFormat="1" applyFont="1" applyBorder="1" applyAlignment="1">
      <alignment horizontal="right"/>
    </xf>
    <xf numFmtId="0" fontId="4" fillId="0" borderId="27" xfId="0" applyFont="1" applyBorder="1" applyAlignment="1">
      <alignment horizontal="left"/>
    </xf>
    <xf numFmtId="3" fontId="53" fillId="0" borderId="36" xfId="0" applyNumberFormat="1" applyFont="1" applyBorder="1"/>
    <xf numFmtId="3" fontId="48" fillId="0" borderId="30" xfId="0" applyNumberFormat="1" applyFont="1" applyBorder="1" applyAlignment="1">
      <alignment horizontal="center"/>
    </xf>
    <xf numFmtId="3" fontId="48" fillId="0" borderId="36" xfId="0" applyNumberFormat="1" applyFont="1" applyBorder="1" applyAlignment="1">
      <alignment horizontal="center"/>
    </xf>
    <xf numFmtId="3" fontId="77" fillId="0" borderId="36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left"/>
    </xf>
    <xf numFmtId="0" fontId="97" fillId="0" borderId="0" xfId="0" applyFont="1"/>
    <xf numFmtId="0" fontId="96" fillId="0" borderId="20" xfId="0" applyFont="1" applyBorder="1"/>
    <xf numFmtId="49" fontId="94" fillId="0" borderId="16" xfId="0" applyNumberFormat="1" applyFont="1" applyBorder="1" applyAlignment="1">
      <alignment horizontal="center" vertical="center" wrapText="1"/>
    </xf>
    <xf numFmtId="0" fontId="94" fillId="0" borderId="4" xfId="0" applyFont="1" applyBorder="1" applyAlignment="1">
      <alignment horizontal="center" vertical="center"/>
    </xf>
    <xf numFmtId="168" fontId="94" fillId="0" borderId="4" xfId="5" applyNumberFormat="1" applyFont="1" applyBorder="1" applyAlignment="1">
      <alignment horizontal="center" vertical="center" wrapText="1"/>
    </xf>
    <xf numFmtId="168" fontId="94" fillId="0" borderId="23" xfId="5" applyNumberFormat="1" applyFont="1" applyBorder="1" applyAlignment="1">
      <alignment horizontal="center" vertical="center"/>
    </xf>
    <xf numFmtId="0" fontId="94" fillId="0" borderId="28" xfId="0" applyFont="1" applyBorder="1" applyAlignment="1">
      <alignment wrapText="1"/>
    </xf>
    <xf numFmtId="3" fontId="95" fillId="0" borderId="5" xfId="5" applyNumberFormat="1" applyFont="1" applyBorder="1" applyAlignment="1">
      <alignment horizontal="right"/>
    </xf>
    <xf numFmtId="3" fontId="95" fillId="0" borderId="15" xfId="5" applyNumberFormat="1" applyFont="1" applyBorder="1" applyAlignment="1">
      <alignment horizontal="right"/>
    </xf>
    <xf numFmtId="49" fontId="95" fillId="0" borderId="14" xfId="0" applyNumberFormat="1" applyFont="1" applyBorder="1" applyAlignment="1">
      <alignment horizontal="center"/>
    </xf>
    <xf numFmtId="0" fontId="95" fillId="0" borderId="28" xfId="0" applyFont="1" applyBorder="1" applyAlignment="1">
      <alignment wrapText="1"/>
    </xf>
    <xf numFmtId="3" fontId="95" fillId="3" borderId="15" xfId="5" applyNumberFormat="1" applyFont="1" applyFill="1" applyBorder="1" applyAlignment="1">
      <alignment horizontal="right"/>
    </xf>
    <xf numFmtId="49" fontId="95" fillId="7" borderId="11" xfId="0" applyNumberFormat="1" applyFont="1" applyFill="1" applyBorder="1" applyAlignment="1">
      <alignment horizontal="center"/>
    </xf>
    <xf numFmtId="3" fontId="95" fillId="7" borderId="12" xfId="5" applyNumberFormat="1" applyFont="1" applyFill="1" applyBorder="1" applyAlignment="1">
      <alignment horizontal="right"/>
    </xf>
    <xf numFmtId="49" fontId="95" fillId="0" borderId="16" xfId="0" applyNumberFormat="1" applyFont="1" applyBorder="1" applyAlignment="1">
      <alignment horizontal="center"/>
    </xf>
    <xf numFmtId="3" fontId="95" fillId="0" borderId="6" xfId="5" applyNumberFormat="1" applyFont="1" applyBorder="1" applyAlignment="1">
      <alignment horizontal="right"/>
    </xf>
    <xf numFmtId="3" fontId="95" fillId="0" borderId="4" xfId="5" applyNumberFormat="1" applyFont="1" applyBorder="1" applyAlignment="1">
      <alignment horizontal="right"/>
    </xf>
    <xf numFmtId="3" fontId="103" fillId="0" borderId="26" xfId="0" applyNumberFormat="1" applyFont="1" applyBorder="1" applyAlignment="1">
      <alignment horizontal="right"/>
    </xf>
    <xf numFmtId="3" fontId="95" fillId="0" borderId="22" xfId="5" applyNumberFormat="1" applyFont="1" applyBorder="1" applyAlignment="1">
      <alignment horizontal="right"/>
    </xf>
    <xf numFmtId="1" fontId="96" fillId="0" borderId="0" xfId="0" applyNumberFormat="1" applyFont="1"/>
    <xf numFmtId="49" fontId="103" fillId="3" borderId="27" xfId="0" applyNumberFormat="1" applyFont="1" applyFill="1" applyBorder="1" applyAlignment="1">
      <alignment wrapText="1"/>
    </xf>
    <xf numFmtId="0" fontId="95" fillId="3" borderId="28" xfId="0" applyFont="1" applyFill="1" applyBorder="1" applyAlignment="1">
      <alignment wrapText="1"/>
    </xf>
    <xf numFmtId="10" fontId="103" fillId="7" borderId="12" xfId="0" applyNumberFormat="1" applyFont="1" applyFill="1" applyBorder="1" applyAlignment="1">
      <alignment horizontal="right"/>
    </xf>
    <xf numFmtId="10" fontId="103" fillId="7" borderId="13" xfId="0" applyNumberFormat="1" applyFont="1" applyFill="1" applyBorder="1" applyAlignment="1">
      <alignment horizontal="right"/>
    </xf>
    <xf numFmtId="1" fontId="96" fillId="0" borderId="20" xfId="0" applyNumberFormat="1" applyFont="1" applyBorder="1"/>
    <xf numFmtId="1" fontId="94" fillId="0" borderId="4" xfId="5" applyNumberFormat="1" applyFont="1" applyBorder="1" applyAlignment="1">
      <alignment horizontal="center" vertical="center" wrapText="1"/>
    </xf>
    <xf numFmtId="1" fontId="94" fillId="0" borderId="23" xfId="5" applyNumberFormat="1" applyFont="1" applyBorder="1" applyAlignment="1">
      <alignment horizontal="center" vertical="center"/>
    </xf>
    <xf numFmtId="49" fontId="94" fillId="0" borderId="14" xfId="0" applyNumberFormat="1" applyFont="1" applyBorder="1" applyAlignment="1">
      <alignment horizontal="center" vertical="center" wrapText="1"/>
    </xf>
    <xf numFmtId="0" fontId="94" fillId="0" borderId="28" xfId="0" applyFont="1" applyBorder="1" applyAlignment="1">
      <alignment horizontal="left" vertical="center"/>
    </xf>
    <xf numFmtId="3" fontId="95" fillId="0" borderId="5" xfId="5" applyNumberFormat="1" applyFont="1" applyBorder="1" applyAlignment="1">
      <alignment horizontal="right" vertical="center" wrapText="1"/>
    </xf>
    <xf numFmtId="3" fontId="95" fillId="0" borderId="15" xfId="5" applyNumberFormat="1" applyFont="1" applyBorder="1" applyAlignment="1">
      <alignment horizontal="right" vertical="center"/>
    </xf>
    <xf numFmtId="3" fontId="95" fillId="0" borderId="12" xfId="5" applyNumberFormat="1" applyFont="1" applyBorder="1" applyAlignment="1">
      <alignment horizontal="right" vertical="center" wrapText="1"/>
    </xf>
    <xf numFmtId="3" fontId="95" fillId="8" borderId="13" xfId="5" applyNumberFormat="1" applyFont="1" applyFill="1" applyBorder="1" applyAlignment="1">
      <alignment horizontal="right" vertical="center"/>
    </xf>
    <xf numFmtId="3" fontId="95" fillId="8" borderId="15" xfId="5" applyNumberFormat="1" applyFont="1" applyFill="1" applyBorder="1" applyAlignment="1">
      <alignment horizontal="right" vertical="center"/>
    </xf>
    <xf numFmtId="3" fontId="95" fillId="7" borderId="12" xfId="5" applyNumberFormat="1" applyFont="1" applyFill="1" applyBorder="1" applyAlignment="1">
      <alignment horizontal="right" vertical="center" wrapText="1"/>
    </xf>
    <xf numFmtId="3" fontId="95" fillId="8" borderId="15" xfId="5" applyNumberFormat="1" applyFont="1" applyFill="1" applyBorder="1" applyAlignment="1">
      <alignment horizontal="right"/>
    </xf>
    <xf numFmtId="3" fontId="95" fillId="8" borderId="13" xfId="5" applyNumberFormat="1" applyFont="1" applyFill="1" applyBorder="1" applyAlignment="1">
      <alignment horizontal="right"/>
    </xf>
    <xf numFmtId="49" fontId="95" fillId="0" borderId="19" xfId="0" applyNumberFormat="1" applyFont="1" applyBorder="1" applyAlignment="1">
      <alignment horizontal="center"/>
    </xf>
    <xf numFmtId="3" fontId="95" fillId="3" borderId="15" xfId="5" applyNumberFormat="1" applyFont="1" applyFill="1" applyBorder="1" applyAlignment="1">
      <alignment horizontal="right" vertical="center"/>
    </xf>
    <xf numFmtId="3" fontId="95" fillId="0" borderId="22" xfId="5" applyNumberFormat="1" applyFont="1" applyBorder="1" applyAlignment="1">
      <alignment horizontal="right" vertical="center"/>
    </xf>
    <xf numFmtId="49" fontId="103" fillId="3" borderId="67" xfId="0" applyNumberFormat="1" applyFont="1" applyFill="1" applyBorder="1" applyAlignment="1">
      <alignment wrapText="1"/>
    </xf>
    <xf numFmtId="0" fontId="95" fillId="3" borderId="68" xfId="0" applyFont="1" applyFill="1" applyBorder="1" applyAlignment="1">
      <alignment wrapText="1"/>
    </xf>
    <xf numFmtId="49" fontId="103" fillId="3" borderId="29" xfId="0" applyNumberFormat="1" applyFont="1" applyFill="1" applyBorder="1" applyAlignment="1">
      <alignment wrapText="1"/>
    </xf>
    <xf numFmtId="0" fontId="95" fillId="3" borderId="4" xfId="0" applyFont="1" applyFill="1" applyBorder="1" applyAlignment="1">
      <alignment wrapText="1"/>
    </xf>
    <xf numFmtId="168" fontId="94" fillId="0" borderId="5" xfId="5" applyNumberFormat="1" applyFont="1" applyBorder="1" applyAlignment="1">
      <alignment horizontal="center" vertical="center" wrapText="1"/>
    </xf>
    <xf numFmtId="168" fontId="94" fillId="0" borderId="15" xfId="5" applyNumberFormat="1" applyFont="1" applyBorder="1" applyAlignment="1">
      <alignment horizontal="center" vertical="center"/>
    </xf>
    <xf numFmtId="0" fontId="95" fillId="0" borderId="29" xfId="0" applyFont="1" applyBorder="1" applyAlignment="1">
      <alignment wrapText="1"/>
    </xf>
    <xf numFmtId="3" fontId="95" fillId="8" borderId="23" xfId="5" applyNumberFormat="1" applyFont="1" applyFill="1" applyBorder="1" applyAlignment="1">
      <alignment horizontal="right"/>
    </xf>
    <xf numFmtId="49" fontId="94" fillId="0" borderId="8" xfId="0" applyNumberFormat="1" applyFont="1" applyBorder="1" applyAlignment="1">
      <alignment horizontal="center"/>
    </xf>
    <xf numFmtId="0" fontId="94" fillId="0" borderId="63" xfId="0" applyFont="1" applyBorder="1" applyAlignment="1">
      <alignment wrapText="1"/>
    </xf>
    <xf numFmtId="3" fontId="95" fillId="0" borderId="9" xfId="5" applyNumberFormat="1" applyFont="1" applyBorder="1" applyAlignment="1">
      <alignment horizontal="right"/>
    </xf>
    <xf numFmtId="3" fontId="95" fillId="8" borderId="10" xfId="5" applyNumberFormat="1" applyFont="1" applyFill="1" applyBorder="1" applyAlignment="1">
      <alignment horizontal="right"/>
    </xf>
    <xf numFmtId="0" fontId="95" fillId="0" borderId="1" xfId="0" applyFont="1" applyBorder="1" applyAlignment="1">
      <alignment wrapText="1"/>
    </xf>
    <xf numFmtId="3" fontId="95" fillId="8" borderId="40" xfId="5" applyNumberFormat="1" applyFont="1" applyFill="1" applyBorder="1" applyAlignment="1">
      <alignment horizontal="right"/>
    </xf>
    <xf numFmtId="3" fontId="103" fillId="0" borderId="68" xfId="0" applyNumberFormat="1" applyFont="1" applyBorder="1" applyAlignment="1">
      <alignment horizontal="right"/>
    </xf>
    <xf numFmtId="3" fontId="95" fillId="0" borderId="53" xfId="5" applyNumberFormat="1" applyFont="1" applyBorder="1" applyAlignment="1">
      <alignment horizontal="right"/>
    </xf>
    <xf numFmtId="49" fontId="103" fillId="3" borderId="43" xfId="0" applyNumberFormat="1" applyFont="1" applyFill="1" applyBorder="1" applyAlignment="1">
      <alignment wrapText="1"/>
    </xf>
    <xf numFmtId="0" fontId="95" fillId="3" borderId="43" xfId="0" applyFont="1" applyFill="1" applyBorder="1" applyAlignment="1">
      <alignment wrapText="1"/>
    </xf>
    <xf numFmtId="49" fontId="103" fillId="3" borderId="4" xfId="0" applyNumberFormat="1" applyFont="1" applyFill="1" applyBorder="1" applyAlignment="1">
      <alignment wrapText="1"/>
    </xf>
    <xf numFmtId="49" fontId="103" fillId="7" borderId="12" xfId="0" applyNumberFormat="1" applyFont="1" applyFill="1" applyBorder="1" applyAlignment="1">
      <alignment wrapText="1"/>
    </xf>
    <xf numFmtId="1" fontId="94" fillId="0" borderId="5" xfId="5" applyNumberFormat="1" applyFont="1" applyBorder="1" applyAlignment="1">
      <alignment horizontal="center" vertical="center" wrapText="1"/>
    </xf>
    <xf numFmtId="1" fontId="94" fillId="0" borderId="15" xfId="5" applyNumberFormat="1" applyFont="1" applyBorder="1" applyAlignment="1">
      <alignment horizontal="center" vertical="center"/>
    </xf>
    <xf numFmtId="49" fontId="94" fillId="0" borderId="16" xfId="0" applyNumberFormat="1" applyFont="1" applyBorder="1" applyAlignment="1">
      <alignment horizontal="center" vertical="center"/>
    </xf>
    <xf numFmtId="0" fontId="94" fillId="0" borderId="4" xfId="0" applyFont="1" applyBorder="1" applyAlignment="1">
      <alignment horizontal="left" vertical="center"/>
    </xf>
    <xf numFmtId="3" fontId="94" fillId="0" borderId="5" xfId="5" applyNumberFormat="1" applyFont="1" applyBorder="1" applyAlignment="1">
      <alignment horizontal="center" vertical="center" wrapText="1"/>
    </xf>
    <xf numFmtId="49" fontId="95" fillId="0" borderId="14" xfId="0" applyNumberFormat="1" applyFont="1" applyBorder="1" applyAlignment="1">
      <alignment horizontal="center" vertical="center"/>
    </xf>
    <xf numFmtId="0" fontId="95" fillId="0" borderId="5" xfId="0" applyFont="1" applyBorder="1" applyAlignment="1">
      <alignment wrapText="1"/>
    </xf>
    <xf numFmtId="49" fontId="95" fillId="7" borderId="16" xfId="0" applyNumberFormat="1" applyFont="1" applyFill="1" applyBorder="1" applyAlignment="1">
      <alignment horizontal="center" vertical="center"/>
    </xf>
    <xf numFmtId="3" fontId="95" fillId="8" borderId="23" xfId="5" applyNumberFormat="1" applyFont="1" applyFill="1" applyBorder="1" applyAlignment="1">
      <alignment horizontal="right" vertical="center"/>
    </xf>
    <xf numFmtId="49" fontId="94" fillId="0" borderId="16" xfId="0" applyNumberFormat="1" applyFont="1" applyBorder="1" applyAlignment="1">
      <alignment horizontal="center"/>
    </xf>
    <xf numFmtId="0" fontId="94" fillId="0" borderId="4" xfId="0" applyFont="1" applyBorder="1" applyAlignment="1">
      <alignment wrapText="1"/>
    </xf>
    <xf numFmtId="3" fontId="95" fillId="7" borderId="4" xfId="5" applyNumberFormat="1" applyFont="1" applyFill="1" applyBorder="1" applyAlignment="1">
      <alignment horizontal="right"/>
    </xf>
    <xf numFmtId="3" fontId="95" fillId="0" borderId="43" xfId="5" applyNumberFormat="1" applyFont="1" applyBorder="1" applyAlignment="1">
      <alignment horizontal="right"/>
    </xf>
    <xf numFmtId="3" fontId="95" fillId="7" borderId="13" xfId="5" applyNumberFormat="1" applyFont="1" applyFill="1" applyBorder="1" applyAlignment="1">
      <alignment horizontal="right" vertical="center"/>
    </xf>
    <xf numFmtId="3" fontId="95" fillId="0" borderId="53" xfId="5" applyNumberFormat="1" applyFont="1" applyBorder="1" applyAlignment="1">
      <alignment horizontal="right" vertical="center"/>
    </xf>
    <xf numFmtId="49" fontId="103" fillId="3" borderId="4" xfId="0" applyNumberFormat="1" applyFont="1" applyFill="1" applyBorder="1"/>
    <xf numFmtId="3" fontId="103" fillId="3" borderId="4" xfId="0" applyNumberFormat="1" applyFont="1" applyFill="1" applyBorder="1"/>
    <xf numFmtId="3" fontId="103" fillId="3" borderId="23" xfId="0" applyNumberFormat="1" applyFont="1" applyFill="1" applyBorder="1"/>
    <xf numFmtId="49" fontId="96" fillId="3" borderId="4" xfId="0" applyNumberFormat="1" applyFont="1" applyFill="1" applyBorder="1"/>
    <xf numFmtId="0" fontId="103" fillId="3" borderId="4" xfId="0" applyFont="1" applyFill="1" applyBorder="1"/>
    <xf numFmtId="49" fontId="96" fillId="0" borderId="65" xfId="0" applyNumberFormat="1" applyFont="1" applyBorder="1"/>
    <xf numFmtId="169" fontId="96" fillId="0" borderId="12" xfId="0" applyNumberFormat="1" applyFont="1" applyBorder="1"/>
    <xf numFmtId="0" fontId="96" fillId="0" borderId="12" xfId="0" applyFont="1" applyBorder="1"/>
    <xf numFmtId="0" fontId="96" fillId="0" borderId="13" xfId="0" applyFont="1" applyBorder="1"/>
    <xf numFmtId="3" fontId="53" fillId="0" borderId="36" xfId="0" applyNumberFormat="1" applyFont="1" applyBorder="1" applyAlignment="1">
      <alignment horizontal="left"/>
    </xf>
    <xf numFmtId="170" fontId="48" fillId="0" borderId="36" xfId="0" applyNumberFormat="1" applyFont="1" applyBorder="1" applyAlignment="1">
      <alignment horizontal="left"/>
    </xf>
    <xf numFmtId="0" fontId="2" fillId="7" borderId="0" xfId="0" applyFont="1" applyFill="1"/>
    <xf numFmtId="170" fontId="48" fillId="7" borderId="31" xfId="0" applyNumberFormat="1" applyFont="1" applyFill="1" applyBorder="1" applyAlignment="1">
      <alignment horizontal="left"/>
    </xf>
    <xf numFmtId="0" fontId="2" fillId="7" borderId="36" xfId="0" applyFont="1" applyFill="1" applyBorder="1"/>
    <xf numFmtId="170" fontId="48" fillId="7" borderId="30" xfId="0" applyNumberFormat="1" applyFont="1" applyFill="1" applyBorder="1" applyAlignment="1">
      <alignment horizontal="left"/>
    </xf>
    <xf numFmtId="170" fontId="50" fillId="7" borderId="30" xfId="0" applyNumberFormat="1" applyFont="1" applyFill="1" applyBorder="1" applyAlignment="1">
      <alignment horizontal="left"/>
    </xf>
    <xf numFmtId="170" fontId="50" fillId="7" borderId="48" xfId="0" applyNumberFormat="1" applyFont="1" applyFill="1" applyBorder="1" applyAlignment="1">
      <alignment horizontal="left"/>
    </xf>
    <xf numFmtId="170" fontId="48" fillId="7" borderId="30" xfId="0" applyNumberFormat="1" applyFont="1" applyFill="1" applyBorder="1" applyAlignment="1">
      <alignment horizontal="center"/>
    </xf>
    <xf numFmtId="170" fontId="48" fillId="7" borderId="32" xfId="0" applyNumberFormat="1" applyFont="1" applyFill="1" applyBorder="1" applyAlignment="1">
      <alignment horizontal="right"/>
    </xf>
    <xf numFmtId="0" fontId="1" fillId="7" borderId="0" xfId="0" applyFont="1" applyFill="1"/>
    <xf numFmtId="49" fontId="47" fillId="7" borderId="8" xfId="0" applyNumberFormat="1" applyFont="1" applyFill="1" applyBorder="1" applyAlignment="1">
      <alignment horizontal="center"/>
    </xf>
    <xf numFmtId="0" fontId="47" fillId="7" borderId="9" xfId="0" applyFont="1" applyFill="1" applyBorder="1"/>
    <xf numFmtId="49" fontId="46" fillId="7" borderId="11" xfId="0" applyNumberFormat="1" applyFont="1" applyFill="1" applyBorder="1" applyAlignment="1">
      <alignment horizontal="center"/>
    </xf>
    <xf numFmtId="3" fontId="46" fillId="7" borderId="9" xfId="5" applyNumberFormat="1" applyFont="1" applyFill="1" applyBorder="1" applyAlignment="1">
      <alignment horizontal="right"/>
    </xf>
    <xf numFmtId="3" fontId="46" fillId="7" borderId="9" xfId="0" applyNumberFormat="1" applyFont="1" applyFill="1" applyBorder="1" applyAlignment="1">
      <alignment horizontal="right"/>
    </xf>
    <xf numFmtId="3" fontId="46" fillId="5" borderId="10" xfId="5" applyNumberFormat="1" applyFont="1" applyFill="1" applyBorder="1" applyAlignment="1">
      <alignment horizontal="right"/>
    </xf>
    <xf numFmtId="0" fontId="46" fillId="7" borderId="44" xfId="0" applyFont="1" applyFill="1" applyBorder="1"/>
    <xf numFmtId="0" fontId="46" fillId="7" borderId="0" xfId="0" applyFont="1" applyFill="1"/>
    <xf numFmtId="3" fontId="46" fillId="7" borderId="12" xfId="5" applyNumberFormat="1" applyFont="1" applyFill="1" applyBorder="1" applyAlignment="1">
      <alignment horizontal="right"/>
    </xf>
    <xf numFmtId="3" fontId="46" fillId="7" borderId="12" xfId="0" applyNumberFormat="1" applyFont="1" applyFill="1" applyBorder="1" applyAlignment="1">
      <alignment horizontal="right"/>
    </xf>
    <xf numFmtId="49" fontId="74" fillId="7" borderId="14" xfId="0" applyNumberFormat="1" applyFont="1" applyFill="1" applyBorder="1" applyAlignment="1">
      <alignment horizontal="center"/>
    </xf>
    <xf numFmtId="0" fontId="74" fillId="7" borderId="5" xfId="0" applyFont="1" applyFill="1" applyBorder="1" applyAlignment="1">
      <alignment wrapText="1"/>
    </xf>
    <xf numFmtId="3" fontId="74" fillId="7" borderId="5" xfId="5" applyNumberFormat="1" applyFont="1" applyFill="1" applyBorder="1" applyAlignment="1">
      <alignment horizontal="right"/>
    </xf>
    <xf numFmtId="3" fontId="74" fillId="7" borderId="5" xfId="0" applyNumberFormat="1" applyFont="1" applyFill="1" applyBorder="1" applyAlignment="1">
      <alignment horizontal="right"/>
    </xf>
    <xf numFmtId="3" fontId="74" fillId="7" borderId="60" xfId="0" applyNumberFormat="1" applyFont="1" applyFill="1" applyBorder="1" applyAlignment="1">
      <alignment horizontal="right"/>
    </xf>
    <xf numFmtId="3" fontId="74" fillId="5" borderId="15" xfId="5" applyNumberFormat="1" applyFont="1" applyFill="1" applyBorder="1" applyAlignment="1">
      <alignment horizontal="right"/>
    </xf>
    <xf numFmtId="49" fontId="74" fillId="7" borderId="11" xfId="0" applyNumberFormat="1" applyFont="1" applyFill="1" applyBorder="1" applyAlignment="1">
      <alignment horizontal="center"/>
    </xf>
    <xf numFmtId="49" fontId="74" fillId="7" borderId="14" xfId="0" applyNumberFormat="1" applyFont="1" applyFill="1" applyBorder="1" applyAlignment="1">
      <alignment horizontal="center" vertical="center"/>
    </xf>
    <xf numFmtId="3" fontId="74" fillId="7" borderId="5" xfId="5" applyNumberFormat="1" applyFont="1" applyFill="1" applyBorder="1" applyAlignment="1">
      <alignment horizontal="right" vertical="center" wrapText="1"/>
    </xf>
    <xf numFmtId="3" fontId="75" fillId="7" borderId="5" xfId="5" applyNumberFormat="1" applyFont="1" applyFill="1" applyBorder="1" applyAlignment="1">
      <alignment horizontal="right" vertical="center" wrapText="1"/>
    </xf>
    <xf numFmtId="3" fontId="74" fillId="7" borderId="5" xfId="5" applyNumberFormat="1" applyFont="1" applyFill="1" applyBorder="1" applyAlignment="1">
      <alignment horizontal="center" vertical="center" wrapText="1"/>
    </xf>
    <xf numFmtId="3" fontId="75" fillId="7" borderId="60" xfId="5" applyNumberFormat="1" applyFont="1" applyFill="1" applyBorder="1" applyAlignment="1">
      <alignment horizontal="right" vertical="center" wrapText="1"/>
    </xf>
    <xf numFmtId="170" fontId="52" fillId="7" borderId="20" xfId="0" applyNumberFormat="1" applyFont="1" applyFill="1" applyBorder="1" applyAlignment="1">
      <alignment horizontal="left"/>
    </xf>
    <xf numFmtId="165" fontId="1" fillId="0" borderId="0" xfId="0" applyNumberFormat="1" applyFont="1"/>
    <xf numFmtId="0" fontId="4" fillId="0" borderId="0" xfId="0" applyFont="1"/>
    <xf numFmtId="3" fontId="0" fillId="0" borderId="55" xfId="0" applyNumberFormat="1" applyBorder="1"/>
    <xf numFmtId="3" fontId="7" fillId="0" borderId="22" xfId="0" applyNumberFormat="1" applyFont="1" applyBorder="1"/>
    <xf numFmtId="3" fontId="0" fillId="0" borderId="15" xfId="0" applyNumberFormat="1" applyBorder="1"/>
    <xf numFmtId="3" fontId="0" fillId="0" borderId="53" xfId="0" applyNumberFormat="1" applyBorder="1"/>
    <xf numFmtId="3" fontId="7" fillId="0" borderId="55" xfId="0" applyNumberFormat="1" applyFont="1" applyBorder="1"/>
    <xf numFmtId="3" fontId="0" fillId="0" borderId="40" xfId="0" applyNumberFormat="1" applyBorder="1"/>
    <xf numFmtId="3" fontId="0" fillId="0" borderId="13" xfId="0" applyNumberFormat="1" applyBorder="1"/>
    <xf numFmtId="49" fontId="95" fillId="7" borderId="17" xfId="0" applyNumberFormat="1" applyFont="1" applyFill="1" applyBorder="1" applyAlignment="1">
      <alignment horizontal="center" vertical="center"/>
    </xf>
    <xf numFmtId="0" fontId="95" fillId="7" borderId="52" xfId="0" applyFont="1" applyFill="1" applyBorder="1" applyAlignment="1">
      <alignment wrapText="1"/>
    </xf>
    <xf numFmtId="3" fontId="40" fillId="7" borderId="5" xfId="5" applyNumberFormat="1" applyFont="1" applyFill="1" applyBorder="1" applyAlignment="1">
      <alignment horizontal="right"/>
    </xf>
    <xf numFmtId="3" fontId="4" fillId="0" borderId="9" xfId="0" applyNumberFormat="1" applyFont="1" applyBorder="1"/>
    <xf numFmtId="3" fontId="4" fillId="0" borderId="43" xfId="0" applyNumberFormat="1" applyFont="1" applyBorder="1"/>
    <xf numFmtId="3" fontId="4" fillId="0" borderId="61" xfId="0" applyNumberFormat="1" applyFont="1" applyBorder="1"/>
    <xf numFmtId="3" fontId="12" fillId="0" borderId="15" xfId="0" applyNumberFormat="1" applyFont="1" applyBorder="1" applyAlignment="1">
      <alignment horizontal="right"/>
    </xf>
    <xf numFmtId="3" fontId="12" fillId="0" borderId="52" xfId="0" applyNumberFormat="1" applyFont="1" applyBorder="1"/>
    <xf numFmtId="3" fontId="7" fillId="0" borderId="52" xfId="0" applyNumberFormat="1" applyFont="1" applyBorder="1"/>
    <xf numFmtId="3" fontId="74" fillId="0" borderId="0" xfId="0" applyNumberFormat="1" applyFont="1"/>
    <xf numFmtId="3" fontId="89" fillId="0" borderId="0" xfId="0" applyNumberFormat="1" applyFont="1"/>
    <xf numFmtId="3" fontId="29" fillId="0" borderId="23" xfId="3" applyNumberFormat="1" applyFont="1" applyBorder="1"/>
    <xf numFmtId="3" fontId="31" fillId="0" borderId="4" xfId="3" applyNumberFormat="1" applyFont="1" applyBorder="1"/>
    <xf numFmtId="3" fontId="29" fillId="0" borderId="23" xfId="2" applyNumberFormat="1" applyFont="1" applyBorder="1"/>
    <xf numFmtId="3" fontId="31" fillId="0" borderId="4" xfId="2" applyNumberFormat="1" applyFont="1" applyBorder="1"/>
    <xf numFmtId="3" fontId="31" fillId="0" borderId="23" xfId="2" applyNumberFormat="1" applyFont="1" applyBorder="1"/>
    <xf numFmtId="3" fontId="29" fillId="0" borderId="13" xfId="2" applyNumberFormat="1" applyFont="1" applyBorder="1"/>
    <xf numFmtId="3" fontId="31" fillId="0" borderId="12" xfId="2" applyNumberFormat="1" applyFont="1" applyBorder="1"/>
    <xf numFmtId="3" fontId="29" fillId="0" borderId="40" xfId="2" applyNumberFormat="1" applyFont="1" applyBorder="1"/>
    <xf numFmtId="3" fontId="29" fillId="0" borderId="52" xfId="2" applyNumberFormat="1" applyFont="1" applyBorder="1"/>
    <xf numFmtId="3" fontId="31" fillId="0" borderId="10" xfId="3" applyNumberFormat="1" applyFont="1" applyBorder="1"/>
    <xf numFmtId="3" fontId="31" fillId="0" borderId="9" xfId="3" applyNumberFormat="1" applyFont="1" applyBorder="1"/>
    <xf numFmtId="3" fontId="31" fillId="0" borderId="23" xfId="3" applyNumberFormat="1" applyFont="1" applyBorder="1"/>
    <xf numFmtId="3" fontId="29" fillId="0" borderId="13" xfId="3" applyNumberFormat="1" applyFont="1" applyBorder="1"/>
    <xf numFmtId="3" fontId="31" fillId="0" borderId="12" xfId="3" applyNumberFormat="1" applyFont="1" applyBorder="1"/>
    <xf numFmtId="3" fontId="29" fillId="0" borderId="22" xfId="3" applyNumberFormat="1" applyFont="1" applyBorder="1"/>
    <xf numFmtId="3" fontId="29" fillId="0" borderId="26" xfId="3" applyNumberFormat="1" applyFont="1" applyBorder="1"/>
    <xf numFmtId="3" fontId="31" fillId="0" borderId="53" xfId="3" applyNumberFormat="1" applyFont="1" applyBorder="1"/>
    <xf numFmtId="3" fontId="31" fillId="0" borderId="6" xfId="3" applyNumberFormat="1" applyFont="1" applyBorder="1"/>
    <xf numFmtId="3" fontId="34" fillId="0" borderId="22" xfId="3" applyNumberFormat="1" applyFont="1" applyBorder="1"/>
    <xf numFmtId="3" fontId="34" fillId="0" borderId="26" xfId="3" applyNumberFormat="1" applyFont="1" applyBorder="1"/>
    <xf numFmtId="3" fontId="0" fillId="0" borderId="20" xfId="0" applyNumberFormat="1" applyBorder="1"/>
    <xf numFmtId="3" fontId="64" fillId="0" borderId="0" xfId="0" applyNumberFormat="1" applyFont="1"/>
    <xf numFmtId="49" fontId="105" fillId="0" borderId="54" xfId="0" applyNumberFormat="1" applyFont="1" applyBorder="1" applyAlignment="1">
      <alignment horizontal="left" wrapText="1"/>
    </xf>
    <xf numFmtId="0" fontId="105" fillId="0" borderId="43" xfId="0" applyFont="1" applyBorder="1"/>
    <xf numFmtId="168" fontId="105" fillId="0" borderId="57" xfId="5" applyNumberFormat="1" applyFont="1" applyBorder="1" applyAlignment="1">
      <alignment horizontal="center" textRotation="90" wrapText="1"/>
    </xf>
    <xf numFmtId="168" fontId="105" fillId="0" borderId="43" xfId="5" applyNumberFormat="1" applyFont="1" applyBorder="1" applyAlignment="1">
      <alignment horizontal="center" textRotation="90" wrapText="1"/>
    </xf>
    <xf numFmtId="168" fontId="105" fillId="0" borderId="61" xfId="5" applyNumberFormat="1" applyFont="1" applyBorder="1" applyAlignment="1">
      <alignment horizontal="center"/>
    </xf>
    <xf numFmtId="49" fontId="47" fillId="5" borderId="52" xfId="0" applyNumberFormat="1" applyFont="1" applyFill="1" applyBorder="1"/>
    <xf numFmtId="0" fontId="47" fillId="5" borderId="52" xfId="0" applyFont="1" applyFill="1" applyBorder="1"/>
    <xf numFmtId="3" fontId="47" fillId="5" borderId="52" xfId="0" applyNumberFormat="1" applyFont="1" applyFill="1" applyBorder="1" applyAlignment="1">
      <alignment horizontal="right"/>
    </xf>
    <xf numFmtId="3" fontId="13" fillId="0" borderId="20" xfId="0" applyNumberFormat="1" applyFont="1" applyBorder="1"/>
    <xf numFmtId="3" fontId="14" fillId="0" borderId="25" xfId="0" applyNumberFormat="1" applyFont="1" applyBorder="1"/>
    <xf numFmtId="3" fontId="14" fillId="0" borderId="20" xfId="0" applyNumberFormat="1" applyFont="1" applyBorder="1"/>
    <xf numFmtId="3" fontId="14" fillId="0" borderId="37" xfId="0" applyNumberFormat="1" applyFont="1" applyBorder="1"/>
    <xf numFmtId="3" fontId="7" fillId="0" borderId="25" xfId="0" applyNumberFormat="1" applyFont="1" applyBorder="1"/>
    <xf numFmtId="3" fontId="7" fillId="0" borderId="51" xfId="0" applyNumberFormat="1" applyFont="1" applyBorder="1"/>
    <xf numFmtId="3" fontId="0" fillId="0" borderId="45" xfId="0" applyNumberFormat="1" applyBorder="1"/>
    <xf numFmtId="3" fontId="0" fillId="0" borderId="1" xfId="0" applyNumberFormat="1" applyBorder="1"/>
    <xf numFmtId="3" fontId="7" fillId="0" borderId="1" xfId="0" applyNumberFormat="1" applyFont="1" applyBorder="1"/>
    <xf numFmtId="3" fontId="0" fillId="0" borderId="2" xfId="0" applyNumberFormat="1" applyBorder="1"/>
    <xf numFmtId="3" fontId="0" fillId="0" borderId="28" xfId="0" applyNumberFormat="1" applyBorder="1"/>
    <xf numFmtId="3" fontId="7" fillId="0" borderId="20" xfId="0" applyNumberFormat="1" applyFont="1" applyBorder="1"/>
    <xf numFmtId="3" fontId="0" fillId="0" borderId="3" xfId="0" applyNumberFormat="1" applyBorder="1"/>
    <xf numFmtId="3" fontId="0" fillId="0" borderId="50" xfId="0" applyNumberFormat="1" applyBorder="1"/>
    <xf numFmtId="3" fontId="7" fillId="0" borderId="9" xfId="0" applyNumberFormat="1" applyFont="1" applyBorder="1"/>
    <xf numFmtId="3" fontId="7" fillId="0" borderId="36" xfId="0" applyNumberFormat="1" applyFont="1" applyBorder="1"/>
    <xf numFmtId="3" fontId="0" fillId="0" borderId="9" xfId="0" applyNumberFormat="1" applyBorder="1"/>
    <xf numFmtId="3" fontId="8" fillId="0" borderId="2" xfId="0" applyNumberFormat="1" applyFont="1" applyBorder="1"/>
    <xf numFmtId="0" fontId="97" fillId="0" borderId="33" xfId="0" applyFont="1" applyBorder="1" applyAlignment="1">
      <alignment wrapText="1"/>
    </xf>
    <xf numFmtId="0" fontId="97" fillId="0" borderId="30" xfId="0" applyFont="1" applyBorder="1" applyAlignment="1">
      <alignment wrapText="1"/>
    </xf>
    <xf numFmtId="0" fontId="97" fillId="0" borderId="32" xfId="0" applyFont="1" applyBorder="1" applyAlignment="1">
      <alignment wrapText="1"/>
    </xf>
    <xf numFmtId="3" fontId="0" fillId="0" borderId="21" xfId="0" applyNumberFormat="1" applyBorder="1"/>
    <xf numFmtId="3" fontId="0" fillId="0" borderId="26" xfId="0" applyNumberFormat="1" applyBorder="1"/>
    <xf numFmtId="3" fontId="2" fillId="0" borderId="9" xfId="0" applyNumberFormat="1" applyFont="1" applyBorder="1"/>
    <xf numFmtId="3" fontId="2" fillId="0" borderId="62" xfId="0" applyNumberFormat="1" applyFont="1" applyBorder="1"/>
    <xf numFmtId="3" fontId="2" fillId="0" borderId="23" xfId="0" applyNumberFormat="1" applyFont="1" applyBorder="1"/>
    <xf numFmtId="3" fontId="2" fillId="0" borderId="4" xfId="0" applyNumberFormat="1" applyFont="1" applyBorder="1"/>
    <xf numFmtId="3" fontId="2" fillId="0" borderId="56" xfId="0" applyNumberFormat="1" applyFont="1" applyBorder="1"/>
    <xf numFmtId="3" fontId="2" fillId="0" borderId="13" xfId="0" applyNumberFormat="1" applyFont="1" applyBorder="1"/>
    <xf numFmtId="3" fontId="2" fillId="0" borderId="12" xfId="0" applyNumberFormat="1" applyFont="1" applyBorder="1"/>
    <xf numFmtId="3" fontId="1" fillId="0" borderId="21" xfId="0" applyNumberFormat="1" applyFont="1" applyBorder="1" applyAlignment="1">
      <alignment horizontal="center"/>
    </xf>
    <xf numFmtId="3" fontId="2" fillId="0" borderId="16" xfId="0" applyNumberFormat="1" applyFont="1" applyBorder="1"/>
    <xf numFmtId="3" fontId="2" fillId="0" borderId="11" xfId="0" applyNumberFormat="1" applyFont="1" applyBorder="1"/>
    <xf numFmtId="171" fontId="2" fillId="0" borderId="9" xfId="1" applyNumberFormat="1" applyBorder="1"/>
    <xf numFmtId="3" fontId="2" fillId="0" borderId="29" xfId="0" applyNumberFormat="1" applyFont="1" applyBorder="1"/>
    <xf numFmtId="3" fontId="2" fillId="0" borderId="38" xfId="0" applyNumberFormat="1" applyFont="1" applyBorder="1"/>
    <xf numFmtId="3" fontId="2" fillId="0" borderId="25" xfId="0" applyNumberFormat="1" applyFont="1" applyBorder="1"/>
    <xf numFmtId="3" fontId="2" fillId="0" borderId="39" xfId="0" applyNumberFormat="1" applyFont="1" applyBorder="1"/>
    <xf numFmtId="3" fontId="31" fillId="0" borderId="13" xfId="2" applyNumberFormat="1" applyFont="1" applyBorder="1"/>
    <xf numFmtId="3" fontId="64" fillId="0" borderId="20" xfId="0" applyNumberFormat="1" applyFont="1" applyBorder="1"/>
    <xf numFmtId="3" fontId="27" fillId="0" borderId="5" xfId="3" applyNumberFormat="1" applyFont="1" applyBorder="1"/>
    <xf numFmtId="3" fontId="0" fillId="0" borderId="36" xfId="0" applyNumberFormat="1" applyBorder="1"/>
    <xf numFmtId="1" fontId="106" fillId="0" borderId="14" xfId="3" applyNumberFormat="1" applyFont="1" applyBorder="1"/>
    <xf numFmtId="3" fontId="27" fillId="0" borderId="15" xfId="3" applyNumberFormat="1" applyFont="1" applyBorder="1"/>
    <xf numFmtId="3" fontId="29" fillId="0" borderId="53" xfId="3" applyNumberFormat="1" applyFont="1" applyBorder="1"/>
    <xf numFmtId="164" fontId="107" fillId="0" borderId="0" xfId="0" applyNumberFormat="1" applyFont="1"/>
    <xf numFmtId="1" fontId="108" fillId="0" borderId="11" xfId="3" applyNumberFormat="1" applyFont="1" applyBorder="1"/>
    <xf numFmtId="3" fontId="0" fillId="0" borderId="34" xfId="0" applyNumberFormat="1" applyBorder="1"/>
    <xf numFmtId="0" fontId="109" fillId="0" borderId="4" xfId="0" applyFont="1" applyBorder="1" applyAlignment="1">
      <alignment horizontal="left" wrapText="1"/>
    </xf>
    <xf numFmtId="0" fontId="46" fillId="0" borderId="20" xfId="0" applyFont="1" applyBorder="1"/>
    <xf numFmtId="0" fontId="98" fillId="0" borderId="36" xfId="0" applyFont="1" applyBorder="1" applyAlignment="1">
      <alignment horizontal="center"/>
    </xf>
    <xf numFmtId="170" fontId="0" fillId="0" borderId="54" xfId="0" applyNumberFormat="1" applyBorder="1" applyAlignment="1">
      <alignment horizontal="left"/>
    </xf>
    <xf numFmtId="170" fontId="0" fillId="0" borderId="43" xfId="0" applyNumberFormat="1" applyBorder="1" applyAlignment="1">
      <alignment horizontal="left"/>
    </xf>
    <xf numFmtId="170" fontId="0" fillId="0" borderId="43" xfId="0" applyNumberFormat="1" applyBorder="1" applyAlignment="1">
      <alignment horizontal="right"/>
    </xf>
    <xf numFmtId="170" fontId="8" fillId="0" borderId="61" xfId="0" applyNumberFormat="1" applyFont="1" applyBorder="1" applyAlignment="1">
      <alignment horizontal="left"/>
    </xf>
    <xf numFmtId="170" fontId="0" fillId="0" borderId="66" xfId="0" applyNumberFormat="1" applyBorder="1"/>
    <xf numFmtId="170" fontId="0" fillId="0" borderId="3" xfId="0" applyNumberFormat="1" applyBorder="1" applyAlignment="1">
      <alignment horizontal="left"/>
    </xf>
    <xf numFmtId="170" fontId="0" fillId="0" borderId="29" xfId="0" applyNumberFormat="1" applyBorder="1" applyAlignment="1">
      <alignment horizontal="left"/>
    </xf>
    <xf numFmtId="170" fontId="0" fillId="0" borderId="50" xfId="0" applyNumberFormat="1" applyBorder="1" applyAlignment="1">
      <alignment horizontal="left"/>
    </xf>
    <xf numFmtId="170" fontId="0" fillId="0" borderId="80" xfId="0" applyNumberFormat="1" applyBorder="1"/>
    <xf numFmtId="0" fontId="2" fillId="0" borderId="20" xfId="0" applyFont="1" applyBorder="1" applyAlignment="1">
      <alignment horizontal="left"/>
    </xf>
    <xf numFmtId="170" fontId="53" fillId="0" borderId="54" xfId="0" applyNumberFormat="1" applyFont="1" applyBorder="1" applyAlignment="1">
      <alignment horizontal="left" wrapText="1"/>
    </xf>
    <xf numFmtId="170" fontId="70" fillId="0" borderId="11" xfId="0" applyNumberFormat="1" applyFont="1" applyBorder="1" applyAlignment="1">
      <alignment horizontal="left" wrapText="1"/>
    </xf>
    <xf numFmtId="3" fontId="96" fillId="0" borderId="0" xfId="0" applyNumberFormat="1" applyFont="1"/>
    <xf numFmtId="0" fontId="0" fillId="0" borderId="0" xfId="0"/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0" xfId="0"/>
    <xf numFmtId="170" fontId="70" fillId="0" borderId="44" xfId="0" applyNumberFormat="1" applyFont="1" applyBorder="1" applyAlignment="1">
      <alignment horizontal="left" wrapText="1"/>
    </xf>
    <xf numFmtId="0" fontId="70" fillId="0" borderId="44" xfId="0" applyFont="1" applyBorder="1" applyAlignment="1">
      <alignment horizontal="left"/>
    </xf>
    <xf numFmtId="0" fontId="70" fillId="0" borderId="44" xfId="0" applyFont="1" applyBorder="1" applyAlignment="1">
      <alignment horizontal="left" wrapText="1"/>
    </xf>
    <xf numFmtId="0" fontId="12" fillId="0" borderId="19" xfId="0" applyFont="1" applyBorder="1" applyAlignment="1">
      <alignment wrapText="1"/>
    </xf>
    <xf numFmtId="3" fontId="4" fillId="0" borderId="7" xfId="0" applyNumberFormat="1" applyFont="1" applyBorder="1"/>
    <xf numFmtId="3" fontId="4" fillId="0" borderId="62" xfId="0" applyNumberFormat="1" applyFont="1" applyBorder="1"/>
    <xf numFmtId="170" fontId="53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wrapText="1"/>
    </xf>
    <xf numFmtId="170" fontId="52" fillId="0" borderId="36" xfId="0" applyNumberFormat="1" applyFont="1" applyBorder="1" applyAlignment="1">
      <alignment horizontal="center"/>
    </xf>
    <xf numFmtId="0" fontId="52" fillId="0" borderId="48" xfId="0" applyFont="1" applyBorder="1"/>
    <xf numFmtId="170" fontId="70" fillId="0" borderId="33" xfId="0" applyNumberFormat="1" applyFont="1" applyBorder="1" applyAlignment="1">
      <alignment horizontal="left" wrapText="1"/>
    </xf>
    <xf numFmtId="3" fontId="70" fillId="0" borderId="34" xfId="0" applyNumberFormat="1" applyFont="1" applyBorder="1" applyAlignment="1">
      <alignment horizontal="right"/>
    </xf>
    <xf numFmtId="170" fontId="70" fillId="0" borderId="44" xfId="0" applyNumberFormat="1" applyFont="1" applyBorder="1" applyAlignment="1">
      <alignment horizontal="left"/>
    </xf>
    <xf numFmtId="170" fontId="70" fillId="0" borderId="44" xfId="0" applyNumberFormat="1" applyFont="1" applyBorder="1" applyAlignment="1">
      <alignment horizontal="right"/>
    </xf>
    <xf numFmtId="170" fontId="70" fillId="0" borderId="44" xfId="0" applyNumberFormat="1" applyFont="1" applyBorder="1" applyAlignment="1">
      <alignment horizontal="right" wrapText="1"/>
    </xf>
    <xf numFmtId="3" fontId="70" fillId="0" borderId="36" xfId="0" applyNumberFormat="1" applyFont="1" applyBorder="1" applyAlignment="1">
      <alignment horizontal="right"/>
    </xf>
    <xf numFmtId="0" fontId="0" fillId="0" borderId="0" xfId="0"/>
    <xf numFmtId="3" fontId="4" fillId="0" borderId="61" xfId="0" applyNumberFormat="1" applyFont="1" applyFill="1" applyBorder="1"/>
    <xf numFmtId="0" fontId="9" fillId="0" borderId="19" xfId="0" applyFont="1" applyFill="1" applyBorder="1"/>
    <xf numFmtId="3" fontId="9" fillId="0" borderId="53" xfId="0" applyNumberFormat="1" applyFont="1" applyFill="1" applyBorder="1"/>
    <xf numFmtId="0" fontId="2" fillId="0" borderId="54" xfId="0" applyFont="1" applyFill="1" applyBorder="1"/>
    <xf numFmtId="3" fontId="12" fillId="0" borderId="43" xfId="0" applyNumberFormat="1" applyFont="1" applyFill="1" applyBorder="1"/>
    <xf numFmtId="3" fontId="12" fillId="0" borderId="4" xfId="0" applyNumberFormat="1" applyFont="1" applyFill="1" applyBorder="1" applyAlignment="1">
      <alignment horizontal="left"/>
    </xf>
    <xf numFmtId="3" fontId="12" fillId="0" borderId="12" xfId="0" applyNumberFormat="1" applyFont="1" applyFill="1" applyBorder="1" applyAlignment="1">
      <alignment horizontal="left"/>
    </xf>
    <xf numFmtId="171" fontId="70" fillId="0" borderId="0" xfId="1" applyNumberFormat="1" applyFont="1" applyBorder="1"/>
    <xf numFmtId="3" fontId="2" fillId="0" borderId="0" xfId="0" applyNumberFormat="1" applyFont="1"/>
    <xf numFmtId="0" fontId="0" fillId="0" borderId="0" xfId="0"/>
    <xf numFmtId="0" fontId="0" fillId="0" borderId="0" xfId="0"/>
    <xf numFmtId="0" fontId="55" fillId="0" borderId="0" xfId="0" applyFont="1" applyBorder="1"/>
    <xf numFmtId="0" fontId="56" fillId="0" borderId="0" xfId="0" applyFont="1" applyBorder="1"/>
    <xf numFmtId="164" fontId="56" fillId="0" borderId="0" xfId="0" applyNumberFormat="1" applyFont="1" applyBorder="1"/>
    <xf numFmtId="0" fontId="54" fillId="0" borderId="0" xfId="0" applyFont="1" applyBorder="1"/>
    <xf numFmtId="0" fontId="57" fillId="0" borderId="0" xfId="0" applyFont="1" applyBorder="1"/>
    <xf numFmtId="164" fontId="57" fillId="0" borderId="0" xfId="0" applyNumberFormat="1" applyFont="1" applyBorder="1"/>
    <xf numFmtId="0" fontId="16" fillId="0" borderId="0" xfId="0" applyFont="1" applyBorder="1"/>
    <xf numFmtId="164" fontId="57" fillId="0" borderId="0" xfId="0" applyNumberFormat="1" applyFont="1" applyBorder="1" applyAlignment="1">
      <alignment horizontal="center"/>
    </xf>
    <xf numFmtId="170" fontId="68" fillId="0" borderId="0" xfId="0" applyNumberFormat="1" applyFont="1" applyBorder="1" applyAlignment="1">
      <alignment horizontal="center" wrapText="1"/>
    </xf>
    <xf numFmtId="0" fontId="59" fillId="0" borderId="0" xfId="0" applyFont="1" applyBorder="1"/>
    <xf numFmtId="170" fontId="55" fillId="0" borderId="0" xfId="0" applyNumberFormat="1" applyFont="1" applyBorder="1"/>
    <xf numFmtId="0" fontId="60" fillId="0" borderId="0" xfId="0" applyFont="1" applyBorder="1"/>
    <xf numFmtId="170" fontId="78" fillId="0" borderId="0" xfId="0" applyNumberFormat="1" applyFont="1" applyBorder="1" applyAlignment="1">
      <alignment horizontal="left"/>
    </xf>
    <xf numFmtId="0" fontId="54" fillId="0" borderId="0" xfId="0" applyFont="1" applyBorder="1" applyAlignment="1">
      <alignment horizontal="left"/>
    </xf>
    <xf numFmtId="0" fontId="54" fillId="0" borderId="48" xfId="0" applyFont="1" applyBorder="1"/>
    <xf numFmtId="0" fontId="54" fillId="0" borderId="36" xfId="0" applyFont="1" applyBorder="1"/>
    <xf numFmtId="0" fontId="16" fillId="0" borderId="36" xfId="0" applyFont="1" applyBorder="1"/>
    <xf numFmtId="170" fontId="59" fillId="0" borderId="34" xfId="0" applyNumberFormat="1" applyFont="1" applyBorder="1"/>
    <xf numFmtId="170" fontId="60" fillId="0" borderId="34" xfId="0" applyNumberFormat="1" applyFont="1" applyBorder="1"/>
    <xf numFmtId="170" fontId="54" fillId="0" borderId="46" xfId="0" applyNumberFormat="1" applyFont="1" applyBorder="1"/>
    <xf numFmtId="170" fontId="54" fillId="0" borderId="78" xfId="0" applyNumberFormat="1" applyFont="1" applyBorder="1"/>
    <xf numFmtId="170" fontId="55" fillId="0" borderId="78" xfId="0" applyNumberFormat="1" applyFont="1" applyBorder="1"/>
    <xf numFmtId="170" fontId="73" fillId="0" borderId="23" xfId="0" applyNumberFormat="1" applyFont="1" applyBorder="1"/>
    <xf numFmtId="170" fontId="73" fillId="0" borderId="13" xfId="0" applyNumberFormat="1" applyFont="1" applyBorder="1"/>
    <xf numFmtId="170" fontId="73" fillId="0" borderId="10" xfId="0" applyNumberFormat="1" applyFont="1" applyBorder="1"/>
    <xf numFmtId="0" fontId="23" fillId="0" borderId="0" xfId="0" applyFont="1"/>
    <xf numFmtId="0" fontId="0" fillId="0" borderId="0" xfId="0"/>
    <xf numFmtId="170" fontId="0" fillId="0" borderId="4" xfId="0" applyNumberFormat="1" applyBorder="1" applyAlignment="1">
      <alignment horizontal="left"/>
    </xf>
    <xf numFmtId="0" fontId="0" fillId="0" borderId="4" xfId="0" applyBorder="1"/>
    <xf numFmtId="3" fontId="74" fillId="7" borderId="60" xfId="5" applyNumberFormat="1" applyFont="1" applyFill="1" applyBorder="1" applyAlignment="1">
      <alignment horizontal="right"/>
    </xf>
    <xf numFmtId="3" fontId="75" fillId="5" borderId="42" xfId="5" applyNumberFormat="1" applyFont="1" applyFill="1" applyBorder="1" applyAlignment="1">
      <alignment horizontal="right" vertical="center"/>
    </xf>
    <xf numFmtId="3" fontId="110" fillId="7" borderId="5" xfId="5" applyNumberFormat="1" applyFont="1" applyFill="1" applyBorder="1" applyAlignment="1">
      <alignment horizontal="right"/>
    </xf>
    <xf numFmtId="3" fontId="110" fillId="7" borderId="60" xfId="5" applyNumberFormat="1" applyFont="1" applyFill="1" applyBorder="1" applyAlignment="1">
      <alignment horizontal="right"/>
    </xf>
    <xf numFmtId="3" fontId="111" fillId="5" borderId="42" xfId="5" applyNumberFormat="1" applyFont="1" applyFill="1" applyBorder="1" applyAlignment="1">
      <alignment horizontal="right" vertical="center"/>
    </xf>
    <xf numFmtId="49" fontId="110" fillId="7" borderId="16" xfId="0" applyNumberFormat="1" applyFont="1" applyFill="1" applyBorder="1" applyAlignment="1">
      <alignment horizontal="center"/>
    </xf>
    <xf numFmtId="0" fontId="74" fillId="7" borderId="4" xfId="0" applyFont="1" applyFill="1" applyBorder="1" applyAlignment="1">
      <alignment wrapText="1"/>
    </xf>
    <xf numFmtId="3" fontId="74" fillId="7" borderId="4" xfId="5" applyNumberFormat="1" applyFont="1" applyFill="1" applyBorder="1" applyAlignment="1">
      <alignment horizontal="right"/>
    </xf>
    <xf numFmtId="3" fontId="74" fillId="7" borderId="62" xfId="5" applyNumberFormat="1" applyFont="1" applyFill="1" applyBorder="1" applyAlignment="1">
      <alignment horizontal="right"/>
    </xf>
    <xf numFmtId="3" fontId="75" fillId="5" borderId="41" xfId="5" applyNumberFormat="1" applyFont="1" applyFill="1" applyBorder="1" applyAlignment="1">
      <alignment horizontal="right" vertical="center"/>
    </xf>
    <xf numFmtId="49" fontId="110" fillId="7" borderId="54" xfId="0" applyNumberFormat="1" applyFont="1" applyFill="1" applyBorder="1" applyAlignment="1">
      <alignment horizontal="center"/>
    </xf>
    <xf numFmtId="0" fontId="74" fillId="7" borderId="43" xfId="0" applyFont="1" applyFill="1" applyBorder="1" applyAlignment="1">
      <alignment wrapText="1"/>
    </xf>
    <xf numFmtId="3" fontId="74" fillId="7" borderId="43" xfId="5" applyNumberFormat="1" applyFont="1" applyFill="1" applyBorder="1" applyAlignment="1">
      <alignment horizontal="right"/>
    </xf>
    <xf numFmtId="3" fontId="74" fillId="7" borderId="61" xfId="5" applyNumberFormat="1" applyFont="1" applyFill="1" applyBorder="1" applyAlignment="1">
      <alignment horizontal="right"/>
    </xf>
    <xf numFmtId="3" fontId="75" fillId="5" borderId="71" xfId="5" applyNumberFormat="1" applyFont="1" applyFill="1" applyBorder="1" applyAlignment="1">
      <alignment horizontal="right" vertical="center"/>
    </xf>
    <xf numFmtId="49" fontId="74" fillId="7" borderId="17" xfId="0" applyNumberFormat="1" applyFont="1" applyFill="1" applyBorder="1" applyAlignment="1">
      <alignment horizontal="center"/>
    </xf>
    <xf numFmtId="0" fontId="74" fillId="7" borderId="52" xfId="0" applyFont="1" applyFill="1" applyBorder="1" applyAlignment="1">
      <alignment wrapText="1"/>
    </xf>
    <xf numFmtId="3" fontId="74" fillId="7" borderId="52" xfId="5" applyNumberFormat="1" applyFont="1" applyFill="1" applyBorder="1" applyAlignment="1">
      <alignment horizontal="right"/>
    </xf>
    <xf numFmtId="49" fontId="74" fillId="7" borderId="16" xfId="0" applyNumberFormat="1" applyFont="1" applyFill="1" applyBorder="1" applyAlignment="1">
      <alignment horizontal="center"/>
    </xf>
    <xf numFmtId="3" fontId="40" fillId="7" borderId="4" xfId="5" applyNumberFormat="1" applyFont="1" applyFill="1" applyBorder="1" applyAlignment="1">
      <alignment horizontal="right"/>
    </xf>
    <xf numFmtId="3" fontId="74" fillId="7" borderId="52" xfId="0" applyNumberFormat="1" applyFont="1" applyFill="1" applyBorder="1" applyAlignment="1">
      <alignment horizontal="right"/>
    </xf>
    <xf numFmtId="3" fontId="74" fillId="7" borderId="64" xfId="0" applyNumberFormat="1" applyFont="1" applyFill="1" applyBorder="1" applyAlignment="1">
      <alignment horizontal="right"/>
    </xf>
    <xf numFmtId="3" fontId="75" fillId="4" borderId="41" xfId="5" applyNumberFormat="1" applyFont="1" applyFill="1" applyBorder="1" applyAlignment="1">
      <alignment horizontal="right" vertical="center"/>
    </xf>
    <xf numFmtId="3" fontId="74" fillId="0" borderId="5" xfId="5" applyNumberFormat="1" applyFont="1" applyBorder="1" applyAlignment="1">
      <alignment horizontal="right" vertical="center" wrapText="1"/>
    </xf>
    <xf numFmtId="3" fontId="75" fillId="0" borderId="5" xfId="5" applyNumberFormat="1" applyFont="1" applyBorder="1" applyAlignment="1">
      <alignment horizontal="right" vertical="center" wrapText="1"/>
    </xf>
    <xf numFmtId="3" fontId="74" fillId="0" borderId="5" xfId="5" applyNumberFormat="1" applyFont="1" applyBorder="1" applyAlignment="1">
      <alignment horizontal="center" vertical="center" wrapText="1"/>
    </xf>
    <xf numFmtId="3" fontId="75" fillId="0" borderId="60" xfId="5" applyNumberFormat="1" applyFont="1" applyBorder="1" applyAlignment="1">
      <alignment horizontal="right" vertical="center" wrapText="1"/>
    </xf>
    <xf numFmtId="3" fontId="75" fillId="4" borderId="42" xfId="5" applyNumberFormat="1" applyFont="1" applyFill="1" applyBorder="1" applyAlignment="1">
      <alignment horizontal="right" vertical="center"/>
    </xf>
    <xf numFmtId="49" fontId="74" fillId="7" borderId="16" xfId="0" applyNumberFormat="1" applyFont="1" applyFill="1" applyBorder="1" applyAlignment="1">
      <alignment horizontal="center" vertical="center"/>
    </xf>
    <xf numFmtId="3" fontId="74" fillId="7" borderId="4" xfId="5" applyNumberFormat="1" applyFont="1" applyFill="1" applyBorder="1" applyAlignment="1">
      <alignment horizontal="right" vertical="center" wrapText="1"/>
    </xf>
    <xf numFmtId="3" fontId="75" fillId="7" borderId="4" xfId="5" applyNumberFormat="1" applyFont="1" applyFill="1" applyBorder="1" applyAlignment="1">
      <alignment horizontal="right" vertical="center" wrapText="1"/>
    </xf>
    <xf numFmtId="3" fontId="74" fillId="7" borderId="4" xfId="5" applyNumberFormat="1" applyFont="1" applyFill="1" applyBorder="1" applyAlignment="1">
      <alignment horizontal="center" vertical="center" wrapText="1"/>
    </xf>
    <xf numFmtId="3" fontId="75" fillId="7" borderId="62" xfId="5" applyNumberFormat="1" applyFont="1" applyFill="1" applyBorder="1" applyAlignment="1">
      <alignment horizontal="right" vertical="center" wrapText="1"/>
    </xf>
    <xf numFmtId="3" fontId="74" fillId="7" borderId="23" xfId="5" applyNumberFormat="1" applyFont="1" applyFill="1" applyBorder="1" applyAlignment="1">
      <alignment horizontal="right"/>
    </xf>
    <xf numFmtId="3" fontId="90" fillId="5" borderId="42" xfId="5" applyNumberFormat="1" applyFont="1" applyFill="1" applyBorder="1" applyAlignment="1">
      <alignment horizontal="right" vertical="center"/>
    </xf>
    <xf numFmtId="49" fontId="75" fillId="3" borderId="46" xfId="0" applyNumberFormat="1" applyFont="1" applyFill="1" applyBorder="1" applyAlignment="1">
      <alignment wrapText="1"/>
    </xf>
    <xf numFmtId="3" fontId="75" fillId="3" borderId="9" xfId="0" applyNumberFormat="1" applyFont="1" applyFill="1" applyBorder="1" applyAlignment="1">
      <alignment horizontal="right"/>
    </xf>
    <xf numFmtId="3" fontId="75" fillId="3" borderId="10" xfId="0" applyNumberFormat="1" applyFont="1" applyFill="1" applyBorder="1" applyAlignment="1">
      <alignment horizontal="right"/>
    </xf>
    <xf numFmtId="49" fontId="75" fillId="3" borderId="27" xfId="0" applyNumberFormat="1" applyFont="1" applyFill="1" applyBorder="1" applyAlignment="1">
      <alignment wrapText="1"/>
    </xf>
    <xf numFmtId="0" fontId="75" fillId="3" borderId="5" xfId="0" applyFont="1" applyFill="1" applyBorder="1" applyAlignment="1">
      <alignment wrapText="1"/>
    </xf>
    <xf numFmtId="3" fontId="75" fillId="3" borderId="5" xfId="0" applyNumberFormat="1" applyFont="1" applyFill="1" applyBorder="1" applyAlignment="1">
      <alignment horizontal="right"/>
    </xf>
    <xf numFmtId="3" fontId="75" fillId="3" borderId="60" xfId="0" applyNumberFormat="1" applyFont="1" applyFill="1" applyBorder="1" applyAlignment="1">
      <alignment horizontal="right"/>
    </xf>
    <xf numFmtId="3" fontId="75" fillId="3" borderId="42" xfId="0" applyNumberFormat="1" applyFont="1" applyFill="1" applyBorder="1" applyAlignment="1">
      <alignment horizontal="right"/>
    </xf>
    <xf numFmtId="3" fontId="75" fillId="4" borderId="41" xfId="5" applyNumberFormat="1" applyFont="1" applyFill="1" applyBorder="1" applyAlignment="1">
      <alignment horizontal="right"/>
    </xf>
    <xf numFmtId="49" fontId="74" fillId="0" borderId="14" xfId="0" applyNumberFormat="1" applyFont="1" applyBorder="1" applyAlignment="1">
      <alignment horizontal="center" wrapText="1"/>
    </xf>
    <xf numFmtId="3" fontId="75" fillId="4" borderId="71" xfId="5" applyNumberFormat="1" applyFont="1" applyFill="1" applyBorder="1" applyAlignment="1">
      <alignment horizontal="right" vertical="center"/>
    </xf>
    <xf numFmtId="49" fontId="74" fillId="0" borderId="14" xfId="0" applyNumberFormat="1" applyFont="1" applyBorder="1" applyAlignment="1">
      <alignment horizontal="left" wrapText="1"/>
    </xf>
    <xf numFmtId="3" fontId="74" fillId="0" borderId="5" xfId="5" applyNumberFormat="1" applyFont="1" applyBorder="1" applyAlignment="1">
      <alignment horizontal="center" wrapText="1"/>
    </xf>
    <xf numFmtId="3" fontId="74" fillId="0" borderId="60" xfId="5" applyNumberFormat="1" applyFont="1" applyBorder="1" applyAlignment="1">
      <alignment horizontal="center" wrapText="1"/>
    </xf>
    <xf numFmtId="49" fontId="46" fillId="0" borderId="16" xfId="0" applyNumberFormat="1" applyFont="1" applyBorder="1" applyAlignment="1">
      <alignment horizontal="left" wrapText="1"/>
    </xf>
    <xf numFmtId="0" fontId="46" fillId="0" borderId="4" xfId="0" applyFont="1" applyBorder="1"/>
    <xf numFmtId="3" fontId="46" fillId="4" borderId="23" xfId="5" applyNumberFormat="1" applyFont="1" applyFill="1" applyBorder="1" applyAlignment="1">
      <alignment horizontal="right"/>
    </xf>
    <xf numFmtId="3" fontId="74" fillId="0" borderId="5" xfId="5" quotePrefix="1" applyNumberFormat="1" applyFont="1" applyBorder="1" applyAlignment="1">
      <alignment horizontal="right"/>
    </xf>
    <xf numFmtId="0" fontId="74" fillId="0" borderId="29" xfId="0" applyFont="1" applyBorder="1" applyAlignment="1">
      <alignment wrapText="1"/>
    </xf>
    <xf numFmtId="3" fontId="74" fillId="7" borderId="4" xfId="0" applyNumberFormat="1" applyFont="1" applyFill="1" applyBorder="1" applyAlignment="1">
      <alignment horizontal="right"/>
    </xf>
    <xf numFmtId="3" fontId="74" fillId="7" borderId="62" xfId="0" applyNumberFormat="1" applyFont="1" applyFill="1" applyBorder="1" applyAlignment="1">
      <alignment horizontal="right"/>
    </xf>
    <xf numFmtId="3" fontId="74" fillId="5" borderId="23" xfId="5" applyNumberFormat="1" applyFont="1" applyFill="1" applyBorder="1" applyAlignment="1">
      <alignment horizontal="right"/>
    </xf>
    <xf numFmtId="3" fontId="74" fillId="0" borderId="4" xfId="5" applyNumberFormat="1" applyFont="1" applyBorder="1" applyAlignment="1">
      <alignment horizontal="center"/>
    </xf>
    <xf numFmtId="3" fontId="74" fillId="0" borderId="4" xfId="5" applyNumberFormat="1" applyFont="1" applyBorder="1"/>
    <xf numFmtId="0" fontId="74" fillId="0" borderId="5" xfId="0" applyFont="1" applyBorder="1"/>
    <xf numFmtId="49" fontId="74" fillId="7" borderId="17" xfId="0" applyNumberFormat="1" applyFont="1" applyFill="1" applyBorder="1" applyAlignment="1">
      <alignment horizontal="center" vertical="center"/>
    </xf>
    <xf numFmtId="3" fontId="74" fillId="7" borderId="64" xfId="5" applyNumberFormat="1" applyFont="1" applyFill="1" applyBorder="1" applyAlignment="1">
      <alignment horizontal="right"/>
    </xf>
    <xf numFmtId="0" fontId="74" fillId="0" borderId="5" xfId="0" applyFont="1" applyBorder="1" applyAlignment="1">
      <alignment horizontal="left" vertical="center"/>
    </xf>
    <xf numFmtId="3" fontId="74" fillId="7" borderId="52" xfId="5" applyNumberFormat="1" applyFont="1" applyFill="1" applyBorder="1" applyAlignment="1">
      <alignment horizontal="center" wrapText="1"/>
    </xf>
    <xf numFmtId="3" fontId="74" fillId="7" borderId="64" xfId="5" applyNumberFormat="1" applyFont="1" applyFill="1" applyBorder="1" applyAlignment="1">
      <alignment horizontal="center" wrapText="1"/>
    </xf>
    <xf numFmtId="49" fontId="74" fillId="7" borderId="17" xfId="0" applyNumberFormat="1" applyFont="1" applyFill="1" applyBorder="1" applyAlignment="1">
      <alignment horizontal="left" wrapText="1"/>
    </xf>
    <xf numFmtId="170" fontId="98" fillId="0" borderId="46" xfId="0" applyNumberFormat="1" applyFont="1" applyBorder="1" applyAlignment="1">
      <alignment horizontal="left"/>
    </xf>
    <xf numFmtId="0" fontId="0" fillId="0" borderId="0" xfId="0" applyBorder="1"/>
    <xf numFmtId="170" fontId="98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170" fontId="0" fillId="0" borderId="4" xfId="0" applyNumberFormat="1" applyFont="1" applyBorder="1"/>
    <xf numFmtId="170" fontId="97" fillId="0" borderId="12" xfId="0" applyNumberFormat="1" applyFont="1" applyBorder="1"/>
    <xf numFmtId="0" fontId="0" fillId="0" borderId="0" xfId="0" applyFont="1" applyBorder="1" applyAlignment="1">
      <alignment horizontal="center" wrapText="1"/>
    </xf>
    <xf numFmtId="0" fontId="0" fillId="0" borderId="70" xfId="0" applyFont="1" applyBorder="1" applyAlignment="1">
      <alignment horizontal="center" wrapText="1"/>
    </xf>
    <xf numFmtId="49" fontId="95" fillId="0" borderId="16" xfId="0" applyNumberFormat="1" applyFont="1" applyBorder="1" applyAlignment="1">
      <alignment horizontal="left" wrapText="1"/>
    </xf>
    <xf numFmtId="0" fontId="95" fillId="0" borderId="4" xfId="0" applyFont="1" applyBorder="1"/>
    <xf numFmtId="170" fontId="95" fillId="0" borderId="4" xfId="5" applyNumberFormat="1" applyFont="1" applyBorder="1" applyAlignment="1">
      <alignment horizontal="right"/>
    </xf>
    <xf numFmtId="170" fontId="95" fillId="0" borderId="23" xfId="5" applyNumberFormat="1" applyFont="1" applyBorder="1" applyAlignment="1">
      <alignment horizontal="right"/>
    </xf>
    <xf numFmtId="170" fontId="94" fillId="0" borderId="41" xfId="5" applyNumberFormat="1" applyFont="1" applyBorder="1" applyAlignment="1">
      <alignment horizontal="right" vertical="center"/>
    </xf>
    <xf numFmtId="170" fontId="95" fillId="7" borderId="52" xfId="5" applyNumberFormat="1" applyFont="1" applyFill="1" applyBorder="1" applyAlignment="1">
      <alignment horizontal="right"/>
    </xf>
    <xf numFmtId="170" fontId="95" fillId="7" borderId="40" xfId="5" applyNumberFormat="1" applyFont="1" applyFill="1" applyBorder="1" applyAlignment="1">
      <alignment horizontal="right"/>
    </xf>
    <xf numFmtId="170" fontId="94" fillId="0" borderId="42" xfId="5" applyNumberFormat="1" applyFont="1" applyBorder="1" applyAlignment="1">
      <alignment horizontal="right" vertical="center"/>
    </xf>
    <xf numFmtId="49" fontId="95" fillId="0" borderId="16" xfId="0" applyNumberFormat="1" applyFont="1" applyBorder="1" applyAlignment="1">
      <alignment horizontal="center" vertical="center"/>
    </xf>
    <xf numFmtId="0" fontId="95" fillId="0" borderId="4" xfId="0" applyFont="1" applyBorder="1" applyAlignment="1">
      <alignment wrapText="1"/>
    </xf>
    <xf numFmtId="170" fontId="94" fillId="7" borderId="74" xfId="5" applyNumberFormat="1" applyFont="1" applyFill="1" applyBorder="1" applyAlignment="1">
      <alignment horizontal="right" vertical="center"/>
    </xf>
    <xf numFmtId="49" fontId="95" fillId="0" borderId="16" xfId="0" applyNumberFormat="1" applyFont="1" applyBorder="1" applyAlignment="1">
      <alignment horizontal="center" wrapText="1"/>
    </xf>
    <xf numFmtId="170" fontId="95" fillId="0" borderId="4" xfId="5" applyNumberFormat="1" applyFont="1" applyBorder="1" applyAlignment="1">
      <alignment horizontal="center" vertical="center" wrapText="1"/>
    </xf>
    <xf numFmtId="170" fontId="94" fillId="0" borderId="4" xfId="5" applyNumberFormat="1" applyFont="1" applyBorder="1" applyAlignment="1">
      <alignment horizontal="right" vertical="center" wrapText="1"/>
    </xf>
    <xf numFmtId="170" fontId="94" fillId="0" borderId="23" xfId="5" applyNumberFormat="1" applyFont="1" applyBorder="1" applyAlignment="1">
      <alignment horizontal="right" vertical="center" wrapText="1"/>
    </xf>
    <xf numFmtId="170" fontId="94" fillId="0" borderId="71" xfId="5" applyNumberFormat="1" applyFont="1" applyBorder="1" applyAlignment="1">
      <alignment horizontal="right" vertical="center"/>
    </xf>
    <xf numFmtId="170" fontId="95" fillId="7" borderId="64" xfId="5" applyNumberFormat="1" applyFont="1" applyFill="1" applyBorder="1" applyAlignment="1">
      <alignment horizontal="right"/>
    </xf>
    <xf numFmtId="49" fontId="100" fillId="7" borderId="16" xfId="0" applyNumberFormat="1" applyFont="1" applyFill="1" applyBorder="1" applyAlignment="1">
      <alignment horizontal="center"/>
    </xf>
    <xf numFmtId="170" fontId="95" fillId="7" borderId="23" xfId="5" applyNumberFormat="1" applyFont="1" applyFill="1" applyBorder="1" applyAlignment="1">
      <alignment horizontal="right"/>
    </xf>
    <xf numFmtId="0" fontId="96" fillId="0" borderId="0" xfId="0" applyFont="1" applyBorder="1"/>
    <xf numFmtId="170" fontId="103" fillId="0" borderId="57" xfId="0" applyNumberFormat="1" applyFont="1" applyBorder="1"/>
    <xf numFmtId="170" fontId="103" fillId="0" borderId="50" xfId="0" applyNumberFormat="1" applyFont="1" applyBorder="1"/>
    <xf numFmtId="170" fontId="103" fillId="0" borderId="25" xfId="0" applyNumberFormat="1" applyFont="1" applyBorder="1"/>
    <xf numFmtId="0" fontId="46" fillId="0" borderId="5" xfId="0" applyFont="1" applyBorder="1"/>
    <xf numFmtId="3" fontId="46" fillId="0" borderId="5" xfId="5" applyNumberFormat="1" applyFont="1" applyBorder="1" applyAlignment="1">
      <alignment horizontal="center" wrapText="1"/>
    </xf>
    <xf numFmtId="3" fontId="46" fillId="4" borderId="15" xfId="5" applyNumberFormat="1" applyFont="1" applyFill="1" applyBorder="1" applyAlignment="1">
      <alignment horizontal="right"/>
    </xf>
    <xf numFmtId="49" fontId="47" fillId="0" borderId="14" xfId="0" applyNumberFormat="1" applyFont="1" applyBorder="1" applyAlignment="1">
      <alignment horizontal="left" wrapText="1"/>
    </xf>
    <xf numFmtId="3" fontId="46" fillId="4" borderId="55" xfId="5" applyNumberFormat="1" applyFont="1" applyFill="1" applyBorder="1" applyAlignment="1">
      <alignment horizontal="right"/>
    </xf>
    <xf numFmtId="49" fontId="46" fillId="0" borderId="16" xfId="0" applyNumberFormat="1" applyFont="1" applyBorder="1" applyAlignment="1">
      <alignment horizontal="center"/>
    </xf>
    <xf numFmtId="49" fontId="46" fillId="0" borderId="14" xfId="0" applyNumberFormat="1" applyFont="1" applyBorder="1" applyAlignment="1">
      <alignment horizontal="center"/>
    </xf>
    <xf numFmtId="3" fontId="46" fillId="0" borderId="5" xfId="5" quotePrefix="1" applyNumberFormat="1" applyFont="1" applyBorder="1" applyAlignment="1">
      <alignment horizontal="right"/>
    </xf>
    <xf numFmtId="49" fontId="46" fillId="7" borderId="16" xfId="0" applyNumberFormat="1" applyFont="1" applyFill="1" applyBorder="1" applyAlignment="1">
      <alignment horizontal="center"/>
    </xf>
    <xf numFmtId="3" fontId="46" fillId="7" borderId="4" xfId="5" applyNumberFormat="1" applyFont="1" applyFill="1" applyBorder="1" applyAlignment="1">
      <alignment horizontal="right"/>
    </xf>
    <xf numFmtId="3" fontId="46" fillId="7" borderId="4" xfId="0" applyNumberFormat="1" applyFont="1" applyFill="1" applyBorder="1" applyAlignment="1">
      <alignment horizontal="right"/>
    </xf>
    <xf numFmtId="3" fontId="46" fillId="5" borderId="23" xfId="5" applyNumberFormat="1" applyFont="1" applyFill="1" applyBorder="1" applyAlignment="1">
      <alignment horizontal="right"/>
    </xf>
    <xf numFmtId="49" fontId="46" fillId="0" borderId="11" xfId="0" applyNumberFormat="1" applyFont="1" applyBorder="1" applyAlignment="1">
      <alignment horizontal="left" wrapText="1"/>
    </xf>
    <xf numFmtId="0" fontId="112" fillId="0" borderId="0" xfId="0" applyFont="1"/>
    <xf numFmtId="0" fontId="113" fillId="0" borderId="0" xfId="0" applyFont="1"/>
    <xf numFmtId="0" fontId="113" fillId="0" borderId="2" xfId="0" applyFont="1" applyBorder="1"/>
    <xf numFmtId="0" fontId="113" fillId="7" borderId="0" xfId="0" applyFont="1" applyFill="1"/>
    <xf numFmtId="0" fontId="112" fillId="7" borderId="0" xfId="0" applyFont="1" applyFill="1"/>
    <xf numFmtId="3" fontId="113" fillId="0" borderId="4" xfId="5" applyNumberFormat="1" applyFont="1" applyBorder="1" applyAlignment="1">
      <alignment horizontal="center" wrapText="1"/>
    </xf>
    <xf numFmtId="3" fontId="113" fillId="0" borderId="4" xfId="5" applyNumberFormat="1" applyFont="1" applyBorder="1" applyAlignment="1">
      <alignment horizontal="right"/>
    </xf>
    <xf numFmtId="3" fontId="113" fillId="0" borderId="4" xfId="0" applyNumberFormat="1" applyFont="1" applyBorder="1" applyAlignment="1">
      <alignment horizontal="right"/>
    </xf>
    <xf numFmtId="3" fontId="113" fillId="0" borderId="23" xfId="0" applyNumberFormat="1" applyFont="1" applyBorder="1" applyAlignment="1">
      <alignment horizontal="right"/>
    </xf>
    <xf numFmtId="3" fontId="113" fillId="4" borderId="37" xfId="5" applyNumberFormat="1" applyFont="1" applyFill="1" applyBorder="1" applyAlignment="1">
      <alignment horizontal="right"/>
    </xf>
    <xf numFmtId="3" fontId="113" fillId="0" borderId="43" xfId="5" applyNumberFormat="1" applyFont="1" applyBorder="1" applyAlignment="1">
      <alignment horizontal="right"/>
    </xf>
    <xf numFmtId="3" fontId="113" fillId="0" borderId="43" xfId="0" applyNumberFormat="1" applyFont="1" applyBorder="1" applyAlignment="1">
      <alignment horizontal="right"/>
    </xf>
    <xf numFmtId="3" fontId="113" fillId="0" borderId="55" xfId="0" applyNumberFormat="1" applyFont="1" applyBorder="1" applyAlignment="1">
      <alignment horizontal="right"/>
    </xf>
    <xf numFmtId="3" fontId="113" fillId="4" borderId="20" xfId="5" applyNumberFormat="1" applyFont="1" applyFill="1" applyBorder="1" applyAlignment="1">
      <alignment horizontal="right"/>
    </xf>
    <xf numFmtId="49" fontId="113" fillId="7" borderId="17" xfId="0" applyNumberFormat="1" applyFont="1" applyFill="1" applyBorder="1" applyAlignment="1">
      <alignment horizontal="center"/>
    </xf>
    <xf numFmtId="3" fontId="113" fillId="7" borderId="52" xfId="5" applyNumberFormat="1" applyFont="1" applyFill="1" applyBorder="1" applyAlignment="1">
      <alignment horizontal="right"/>
    </xf>
    <xf numFmtId="3" fontId="113" fillId="7" borderId="52" xfId="0" applyNumberFormat="1" applyFont="1" applyFill="1" applyBorder="1" applyAlignment="1">
      <alignment horizontal="right"/>
    </xf>
    <xf numFmtId="3" fontId="113" fillId="7" borderId="40" xfId="0" applyNumberFormat="1" applyFont="1" applyFill="1" applyBorder="1" applyAlignment="1">
      <alignment horizontal="right"/>
    </xf>
    <xf numFmtId="0" fontId="114" fillId="0" borderId="0" xfId="0" applyFont="1"/>
    <xf numFmtId="0" fontId="114" fillId="7" borderId="0" xfId="0" applyFont="1" applyFill="1"/>
    <xf numFmtId="3" fontId="113" fillId="0" borderId="5" xfId="5" applyNumberFormat="1" applyFont="1" applyBorder="1" applyAlignment="1">
      <alignment horizontal="center" wrapText="1"/>
    </xf>
    <xf numFmtId="49" fontId="113" fillId="0" borderId="16" xfId="0" applyNumberFormat="1" applyFont="1" applyBorder="1" applyAlignment="1">
      <alignment horizontal="center"/>
    </xf>
    <xf numFmtId="3" fontId="113" fillId="0" borderId="15" xfId="5" applyNumberFormat="1" applyFont="1" applyBorder="1" applyAlignment="1">
      <alignment horizontal="center" wrapText="1"/>
    </xf>
    <xf numFmtId="3" fontId="113" fillId="0" borderId="5" xfId="5" applyNumberFormat="1" applyFont="1" applyBorder="1" applyAlignment="1">
      <alignment horizontal="right"/>
    </xf>
    <xf numFmtId="3" fontId="113" fillId="0" borderId="5" xfId="0" applyNumberFormat="1" applyFont="1" applyBorder="1" applyAlignment="1">
      <alignment horizontal="right"/>
    </xf>
    <xf numFmtId="3" fontId="113" fillId="0" borderId="15" xfId="0" applyNumberFormat="1" applyFont="1" applyBorder="1" applyAlignment="1">
      <alignment horizontal="right"/>
    </xf>
    <xf numFmtId="0" fontId="94" fillId="0" borderId="8" xfId="0" applyFont="1" applyBorder="1" applyAlignment="1">
      <alignment horizontal="center" vertical="center" wrapText="1"/>
    </xf>
    <xf numFmtId="168" fontId="94" fillId="0" borderId="9" xfId="5" applyNumberFormat="1" applyFont="1" applyBorder="1" applyAlignment="1">
      <alignment horizontal="center" vertical="center" wrapText="1"/>
    </xf>
    <xf numFmtId="168" fontId="94" fillId="0" borderId="79" xfId="5" applyNumberFormat="1" applyFont="1" applyBorder="1" applyAlignment="1">
      <alignment horizontal="center" vertical="center" wrapText="1"/>
    </xf>
    <xf numFmtId="168" fontId="94" fillId="0" borderId="10" xfId="5" applyNumberFormat="1" applyFont="1" applyBorder="1" applyAlignment="1">
      <alignment horizontal="center" vertical="center"/>
    </xf>
    <xf numFmtId="0" fontId="94" fillId="0" borderId="4" xfId="0" quotePrefix="1" applyFont="1" applyBorder="1" applyAlignment="1">
      <alignment horizontal="left"/>
    </xf>
    <xf numFmtId="1" fontId="95" fillId="0" borderId="4" xfId="5" applyNumberFormat="1" applyFont="1" applyBorder="1" applyAlignment="1">
      <alignment horizontal="right"/>
    </xf>
    <xf numFmtId="1" fontId="95" fillId="0" borderId="62" xfId="5" applyNumberFormat="1" applyFont="1" applyBorder="1" applyAlignment="1">
      <alignment horizontal="right"/>
    </xf>
    <xf numFmtId="1" fontId="95" fillId="8" borderId="23" xfId="5" applyNumberFormat="1" applyFont="1" applyFill="1" applyBorder="1" applyAlignment="1">
      <alignment horizontal="right"/>
    </xf>
    <xf numFmtId="168" fontId="95" fillId="0" borderId="0" xfId="5" applyNumberFormat="1" applyFont="1" applyAlignment="1">
      <alignment horizontal="center"/>
    </xf>
    <xf numFmtId="0" fontId="95" fillId="0" borderId="5" xfId="0" applyFont="1" applyBorder="1" applyAlignment="1">
      <alignment horizontal="left"/>
    </xf>
    <xf numFmtId="3" fontId="94" fillId="3" borderId="15" xfId="5" applyNumberFormat="1" applyFont="1" applyFill="1" applyBorder="1" applyAlignment="1">
      <alignment horizontal="right"/>
    </xf>
    <xf numFmtId="0" fontId="94" fillId="0" borderId="9" xfId="0" applyFont="1" applyBorder="1" applyAlignment="1">
      <alignment horizontal="left" wrapText="1"/>
    </xf>
    <xf numFmtId="3" fontId="94" fillId="3" borderId="10" xfId="5" applyNumberFormat="1" applyFont="1" applyFill="1" applyBorder="1" applyAlignment="1">
      <alignment horizontal="right"/>
    </xf>
    <xf numFmtId="0" fontId="95" fillId="0" borderId="43" xfId="0" applyFont="1" applyBorder="1" applyAlignment="1">
      <alignment horizontal="left"/>
    </xf>
    <xf numFmtId="3" fontId="94" fillId="3" borderId="55" xfId="5" applyNumberFormat="1" applyFont="1" applyFill="1" applyBorder="1" applyAlignment="1">
      <alignment horizontal="right"/>
    </xf>
    <xf numFmtId="0" fontId="95" fillId="0" borderId="4" xfId="0" applyFont="1" applyBorder="1" applyAlignment="1">
      <alignment horizontal="left"/>
    </xf>
    <xf numFmtId="3" fontId="94" fillId="3" borderId="23" xfId="5" applyNumberFormat="1" applyFont="1" applyFill="1" applyBorder="1" applyAlignment="1">
      <alignment horizontal="right"/>
    </xf>
    <xf numFmtId="3" fontId="96" fillId="0" borderId="5" xfId="0" applyNumberFormat="1" applyFont="1" applyBorder="1" applyAlignment="1">
      <alignment horizontal="right"/>
    </xf>
    <xf numFmtId="3" fontId="96" fillId="0" borderId="60" xfId="0" applyNumberFormat="1" applyFont="1" applyBorder="1" applyAlignment="1">
      <alignment horizontal="right"/>
    </xf>
    <xf numFmtId="3" fontId="96" fillId="0" borderId="43" xfId="0" applyNumberFormat="1" applyFont="1" applyBorder="1" applyAlignment="1">
      <alignment horizontal="right"/>
    </xf>
    <xf numFmtId="3" fontId="96" fillId="0" borderId="61" xfId="0" applyNumberFormat="1" applyFont="1" applyBorder="1" applyAlignment="1">
      <alignment horizontal="right"/>
    </xf>
    <xf numFmtId="3" fontId="103" fillId="0" borderId="21" xfId="0" applyNumberFormat="1" applyFont="1" applyBorder="1" applyAlignment="1">
      <alignment horizontal="right"/>
    </xf>
    <xf numFmtId="168" fontId="96" fillId="0" borderId="0" xfId="0" applyNumberFormat="1" applyFont="1"/>
    <xf numFmtId="0" fontId="103" fillId="3" borderId="26" xfId="0" applyFont="1" applyFill="1" applyBorder="1" applyAlignment="1">
      <alignment wrapText="1"/>
    </xf>
    <xf numFmtId="0" fontId="95" fillId="3" borderId="26" xfId="0" applyFont="1" applyFill="1" applyBorder="1" applyAlignment="1">
      <alignment horizontal="left"/>
    </xf>
    <xf numFmtId="0" fontId="103" fillId="3" borderId="5" xfId="0" applyFont="1" applyFill="1" applyBorder="1" applyAlignment="1">
      <alignment wrapText="1"/>
    </xf>
    <xf numFmtId="0" fontId="95" fillId="3" borderId="5" xfId="0" applyFont="1" applyFill="1" applyBorder="1" applyAlignment="1">
      <alignment horizontal="left"/>
    </xf>
    <xf numFmtId="0" fontId="96" fillId="0" borderId="11" xfId="0" applyFont="1" applyBorder="1" applyAlignment="1">
      <alignment wrapText="1"/>
    </xf>
    <xf numFmtId="0" fontId="96" fillId="0" borderId="12" xfId="0" applyFont="1" applyBorder="1" applyAlignment="1">
      <alignment wrapText="1"/>
    </xf>
    <xf numFmtId="1" fontId="96" fillId="0" borderId="12" xfId="0" applyNumberFormat="1" applyFont="1" applyBorder="1"/>
    <xf numFmtId="1" fontId="95" fillId="0" borderId="13" xfId="5" applyNumberFormat="1" applyFont="1" applyBorder="1" applyAlignment="1">
      <alignment horizontal="right"/>
    </xf>
    <xf numFmtId="1" fontId="94" fillId="0" borderId="60" xfId="5" applyNumberFormat="1" applyFont="1" applyBorder="1" applyAlignment="1">
      <alignment horizontal="center" vertical="center" wrapText="1"/>
    </xf>
    <xf numFmtId="1" fontId="95" fillId="0" borderId="15" xfId="5" applyNumberFormat="1" applyFont="1" applyBorder="1" applyAlignment="1">
      <alignment horizontal="right"/>
    </xf>
    <xf numFmtId="3" fontId="95" fillId="0" borderId="60" xfId="5" applyNumberFormat="1" applyFont="1" applyBorder="1" applyAlignment="1">
      <alignment horizontal="right"/>
    </xf>
    <xf numFmtId="3" fontId="94" fillId="8" borderId="13" xfId="5" applyNumberFormat="1" applyFont="1" applyFill="1" applyBorder="1" applyAlignment="1">
      <alignment horizontal="right"/>
    </xf>
    <xf numFmtId="3" fontId="94" fillId="8" borderId="15" xfId="5" applyNumberFormat="1" applyFont="1" applyFill="1" applyBorder="1" applyAlignment="1">
      <alignment horizontal="right"/>
    </xf>
    <xf numFmtId="3" fontId="94" fillId="8" borderId="10" xfId="5" applyNumberFormat="1" applyFont="1" applyFill="1" applyBorder="1" applyAlignment="1">
      <alignment horizontal="right"/>
    </xf>
    <xf numFmtId="3" fontId="94" fillId="8" borderId="55" xfId="5" applyNumberFormat="1" applyFont="1" applyFill="1" applyBorder="1" applyAlignment="1">
      <alignment horizontal="right"/>
    </xf>
    <xf numFmtId="3" fontId="94" fillId="8" borderId="23" xfId="5" applyNumberFormat="1" applyFont="1" applyFill="1" applyBorder="1" applyAlignment="1">
      <alignment horizontal="right"/>
    </xf>
    <xf numFmtId="0" fontId="94" fillId="0" borderId="5" xfId="0" applyFont="1" applyBorder="1" applyAlignment="1">
      <alignment horizontal="left"/>
    </xf>
    <xf numFmtId="3" fontId="95" fillId="0" borderId="61" xfId="5" applyNumberFormat="1" applyFont="1" applyBorder="1" applyAlignment="1">
      <alignment horizontal="right"/>
    </xf>
    <xf numFmtId="3" fontId="95" fillId="0" borderId="62" xfId="5" applyNumberFormat="1" applyFont="1" applyBorder="1" applyAlignment="1">
      <alignment horizontal="right"/>
    </xf>
    <xf numFmtId="3" fontId="95" fillId="8" borderId="22" xfId="5" applyNumberFormat="1" applyFont="1" applyFill="1" applyBorder="1" applyAlignment="1">
      <alignment horizontal="right"/>
    </xf>
    <xf numFmtId="3" fontId="103" fillId="8" borderId="22" xfId="0" applyNumberFormat="1" applyFont="1" applyFill="1" applyBorder="1" applyAlignment="1">
      <alignment horizontal="right"/>
    </xf>
    <xf numFmtId="168" fontId="94" fillId="8" borderId="23" xfId="5" applyNumberFormat="1" applyFont="1" applyFill="1" applyBorder="1" applyAlignment="1">
      <alignment horizontal="center" vertical="center"/>
    </xf>
    <xf numFmtId="0" fontId="94" fillId="0" borderId="4" xfId="0" applyFont="1" applyBorder="1"/>
    <xf numFmtId="3" fontId="96" fillId="0" borderId="4" xfId="0" applyNumberFormat="1" applyFont="1" applyBorder="1" applyAlignment="1">
      <alignment horizontal="right"/>
    </xf>
    <xf numFmtId="3" fontId="96" fillId="8" borderId="23" xfId="0" applyNumberFormat="1" applyFont="1" applyFill="1" applyBorder="1" applyAlignment="1">
      <alignment horizontal="right"/>
    </xf>
    <xf numFmtId="3" fontId="103" fillId="8" borderId="13" xfId="0" applyNumberFormat="1" applyFont="1" applyFill="1" applyBorder="1" applyAlignment="1">
      <alignment horizontal="right"/>
    </xf>
    <xf numFmtId="49" fontId="95" fillId="0" borderId="5" xfId="0" applyNumberFormat="1" applyFont="1" applyBorder="1" applyAlignment="1">
      <alignment horizontal="center"/>
    </xf>
    <xf numFmtId="3" fontId="94" fillId="0" borderId="23" xfId="5" applyNumberFormat="1" applyFont="1" applyBorder="1" applyAlignment="1">
      <alignment horizontal="right"/>
    </xf>
    <xf numFmtId="3" fontId="95" fillId="0" borderId="4" xfId="5" applyNumberFormat="1" applyFont="1" applyBorder="1" applyAlignment="1">
      <alignment horizontal="right" vertical="center" wrapText="1"/>
    </xf>
    <xf numFmtId="3" fontId="103" fillId="8" borderId="15" xfId="0" applyNumberFormat="1" applyFont="1" applyFill="1" applyBorder="1" applyAlignment="1">
      <alignment horizontal="right"/>
    </xf>
    <xf numFmtId="3" fontId="103" fillId="0" borderId="52" xfId="0" applyNumberFormat="1" applyFont="1" applyBorder="1" applyAlignment="1">
      <alignment horizontal="right"/>
    </xf>
    <xf numFmtId="3" fontId="103" fillId="0" borderId="64" xfId="0" applyNumberFormat="1" applyFont="1" applyBorder="1" applyAlignment="1">
      <alignment horizontal="right"/>
    </xf>
    <xf numFmtId="3" fontId="96" fillId="8" borderId="40" xfId="0" applyNumberFormat="1" applyFont="1" applyFill="1" applyBorder="1" applyAlignment="1">
      <alignment horizontal="right"/>
    </xf>
    <xf numFmtId="0" fontId="103" fillId="3" borderId="44" xfId="0" applyFont="1" applyFill="1" applyBorder="1" applyAlignment="1">
      <alignment wrapText="1"/>
    </xf>
    <xf numFmtId="0" fontId="95" fillId="3" borderId="43" xfId="0" applyFont="1" applyFill="1" applyBorder="1" applyAlignment="1">
      <alignment horizontal="left"/>
    </xf>
    <xf numFmtId="0" fontId="103" fillId="3" borderId="16" xfId="0" applyFont="1" applyFill="1" applyBorder="1" applyAlignment="1">
      <alignment wrapText="1"/>
    </xf>
    <xf numFmtId="0" fontId="95" fillId="3" borderId="4" xfId="0" applyFont="1" applyFill="1" applyBorder="1" applyAlignment="1">
      <alignment horizontal="left"/>
    </xf>
    <xf numFmtId="0" fontId="103" fillId="0" borderId="44" xfId="0" applyFont="1" applyBorder="1" applyAlignment="1">
      <alignment wrapText="1"/>
    </xf>
    <xf numFmtId="0" fontId="103" fillId="0" borderId="0" xfId="0" applyFont="1" applyAlignment="1">
      <alignment wrapText="1"/>
    </xf>
    <xf numFmtId="1" fontId="103" fillId="0" borderId="0" xfId="0" applyNumberFormat="1" applyFont="1" applyAlignment="1">
      <alignment horizontal="right"/>
    </xf>
    <xf numFmtId="1" fontId="96" fillId="0" borderId="0" xfId="0" applyNumberFormat="1" applyFont="1" applyAlignment="1">
      <alignment horizontal="right"/>
    </xf>
    <xf numFmtId="0" fontId="96" fillId="0" borderId="44" xfId="0" applyFont="1" applyBorder="1" applyAlignment="1">
      <alignment wrapText="1"/>
    </xf>
    <xf numFmtId="1" fontId="96" fillId="0" borderId="2" xfId="0" applyNumberFormat="1" applyFont="1" applyBorder="1" applyAlignment="1">
      <alignment horizontal="right"/>
    </xf>
    <xf numFmtId="1" fontId="94" fillId="0" borderId="9" xfId="5" applyNumberFormat="1" applyFont="1" applyBorder="1" applyAlignment="1">
      <alignment horizontal="center" vertical="center" wrapText="1"/>
    </xf>
    <xf numFmtId="1" fontId="103" fillId="8" borderId="23" xfId="0" applyNumberFormat="1" applyFont="1" applyFill="1" applyBorder="1" applyAlignment="1">
      <alignment horizontal="right"/>
    </xf>
    <xf numFmtId="0" fontId="94" fillId="0" borderId="4" xfId="0" applyFont="1" applyBorder="1" applyAlignment="1">
      <alignment horizontal="left"/>
    </xf>
    <xf numFmtId="3" fontId="96" fillId="0" borderId="62" xfId="0" applyNumberFormat="1" applyFont="1" applyBorder="1" applyAlignment="1">
      <alignment horizontal="right"/>
    </xf>
    <xf numFmtId="3" fontId="103" fillId="8" borderId="23" xfId="0" applyNumberFormat="1" applyFont="1" applyFill="1" applyBorder="1" applyAlignment="1">
      <alignment horizontal="right"/>
    </xf>
    <xf numFmtId="49" fontId="95" fillId="0" borderId="27" xfId="0" applyNumberFormat="1" applyFont="1" applyBorder="1" applyAlignment="1">
      <alignment horizontal="center"/>
    </xf>
    <xf numFmtId="3" fontId="95" fillId="0" borderId="60" xfId="5" applyNumberFormat="1" applyFont="1" applyBorder="1" applyAlignment="1">
      <alignment horizontal="right" vertical="center" wrapText="1"/>
    </xf>
    <xf numFmtId="3" fontId="95" fillId="0" borderId="7" xfId="5" applyNumberFormat="1" applyFont="1" applyBorder="1" applyAlignment="1">
      <alignment horizontal="right"/>
    </xf>
    <xf numFmtId="3" fontId="103" fillId="8" borderId="55" xfId="0" applyNumberFormat="1" applyFont="1" applyFill="1" applyBorder="1" applyAlignment="1">
      <alignment horizontal="right"/>
    </xf>
    <xf numFmtId="0" fontId="103" fillId="3" borderId="6" xfId="0" applyFont="1" applyFill="1" applyBorder="1"/>
    <xf numFmtId="0" fontId="94" fillId="3" borderId="6" xfId="0" applyFont="1" applyFill="1" applyBorder="1" applyAlignment="1">
      <alignment horizontal="left"/>
    </xf>
    <xf numFmtId="0" fontId="94" fillId="3" borderId="4" xfId="0" applyFont="1" applyFill="1" applyBorder="1" applyAlignment="1">
      <alignment horizontal="left"/>
    </xf>
    <xf numFmtId="0" fontId="103" fillId="0" borderId="0" xfId="0" applyFont="1"/>
    <xf numFmtId="49" fontId="95" fillId="0" borderId="24" xfId="0" applyNumberFormat="1" applyFont="1" applyBorder="1" applyAlignment="1">
      <alignment horizontal="center"/>
    </xf>
    <xf numFmtId="0" fontId="113" fillId="0" borderId="4" xfId="0" applyFont="1" applyBorder="1" applyAlignment="1">
      <alignment wrapText="1"/>
    </xf>
    <xf numFmtId="0" fontId="7" fillId="0" borderId="30" xfId="0" applyFont="1" applyBorder="1"/>
    <xf numFmtId="0" fontId="0" fillId="0" borderId="30" xfId="0" applyBorder="1"/>
    <xf numFmtId="0" fontId="94" fillId="0" borderId="5" xfId="0" applyFont="1" applyBorder="1" applyAlignment="1">
      <alignment horizontal="left" wrapText="1"/>
    </xf>
    <xf numFmtId="3" fontId="94" fillId="0" borderId="15" xfId="5" applyNumberFormat="1" applyFont="1" applyBorder="1" applyAlignment="1">
      <alignment horizontal="right"/>
    </xf>
    <xf numFmtId="3" fontId="96" fillId="8" borderId="15" xfId="0" applyNumberFormat="1" applyFont="1" applyFill="1" applyBorder="1" applyAlignment="1">
      <alignment horizontal="right"/>
    </xf>
    <xf numFmtId="3" fontId="95" fillId="3" borderId="23" xfId="5" applyNumberFormat="1" applyFont="1" applyFill="1" applyBorder="1" applyAlignment="1">
      <alignment horizontal="right"/>
    </xf>
    <xf numFmtId="49" fontId="103" fillId="3" borderId="46" xfId="0" applyNumberFormat="1" applyFont="1" applyFill="1" applyBorder="1" applyAlignment="1">
      <alignment wrapText="1"/>
    </xf>
    <xf numFmtId="0" fontId="95" fillId="3" borderId="9" xfId="0" applyFont="1" applyFill="1" applyBorder="1" applyAlignment="1">
      <alignment wrapText="1"/>
    </xf>
    <xf numFmtId="49" fontId="95" fillId="0" borderId="16" xfId="0" applyNumberFormat="1" applyFont="1" applyBorder="1" applyAlignment="1">
      <alignment horizontal="center" vertical="center" wrapText="1"/>
    </xf>
    <xf numFmtId="3" fontId="94" fillId="0" borderId="4" xfId="5" applyNumberFormat="1" applyFont="1" applyBorder="1" applyAlignment="1">
      <alignment horizontal="center" vertical="center" wrapText="1"/>
    </xf>
    <xf numFmtId="3" fontId="96" fillId="7" borderId="0" xfId="0" applyNumberFormat="1" applyFont="1" applyFill="1"/>
    <xf numFmtId="3" fontId="95" fillId="7" borderId="5" xfId="5" applyNumberFormat="1" applyFont="1" applyFill="1" applyBorder="1" applyAlignment="1">
      <alignment horizontal="right"/>
    </xf>
    <xf numFmtId="3" fontId="95" fillId="0" borderId="70" xfId="5" applyNumberFormat="1" applyFont="1" applyBorder="1" applyAlignment="1">
      <alignment horizontal="right"/>
    </xf>
    <xf numFmtId="49" fontId="103" fillId="3" borderId="5" xfId="0" applyNumberFormat="1" applyFont="1" applyFill="1" applyBorder="1" applyAlignment="1">
      <alignment wrapText="1"/>
    </xf>
    <xf numFmtId="0" fontId="95" fillId="3" borderId="5" xfId="0" applyFont="1" applyFill="1" applyBorder="1" applyAlignment="1">
      <alignment wrapText="1"/>
    </xf>
    <xf numFmtId="1" fontId="96" fillId="0" borderId="20" xfId="0" applyNumberFormat="1" applyFont="1" applyBorder="1" applyAlignment="1">
      <alignment horizontal="right"/>
    </xf>
    <xf numFmtId="49" fontId="94" fillId="0" borderId="8" xfId="0" applyNumberFormat="1" applyFont="1" applyBorder="1" applyAlignment="1">
      <alignment horizontal="center" vertical="center" wrapText="1"/>
    </xf>
    <xf numFmtId="1" fontId="94" fillId="0" borderId="9" xfId="5" applyNumberFormat="1" applyFont="1" applyBorder="1" applyAlignment="1">
      <alignment horizontal="right" vertical="center" wrapText="1"/>
    </xf>
    <xf numFmtId="1" fontId="94" fillId="0" borderId="10" xfId="5" applyNumberFormat="1" applyFont="1" applyBorder="1" applyAlignment="1">
      <alignment horizontal="right" vertical="center"/>
    </xf>
    <xf numFmtId="3" fontId="95" fillId="0" borderId="4" xfId="5" applyNumberFormat="1" applyFont="1" applyBorder="1" applyAlignment="1">
      <alignment horizontal="left" vertical="center" wrapText="1"/>
    </xf>
    <xf numFmtId="3" fontId="95" fillId="3" borderId="23" xfId="5" applyNumberFormat="1" applyFont="1" applyFill="1" applyBorder="1" applyAlignment="1">
      <alignment horizontal="right" vertical="center"/>
    </xf>
    <xf numFmtId="49" fontId="95" fillId="0" borderId="4" xfId="0" applyNumberFormat="1" applyFont="1" applyBorder="1" applyAlignment="1">
      <alignment horizontal="center"/>
    </xf>
    <xf numFmtId="3" fontId="95" fillId="0" borderId="70" xfId="5" applyNumberFormat="1" applyFont="1" applyBorder="1" applyAlignment="1">
      <alignment horizontal="right" vertical="center"/>
    </xf>
    <xf numFmtId="3" fontId="94" fillId="0" borderId="15" xfId="5" applyNumberFormat="1" applyFont="1" applyBorder="1" applyAlignment="1">
      <alignment horizontal="center" vertical="center"/>
    </xf>
    <xf numFmtId="3" fontId="95" fillId="8" borderId="4" xfId="5" applyNumberFormat="1" applyFont="1" applyFill="1" applyBorder="1" applyAlignment="1">
      <alignment horizontal="right"/>
    </xf>
    <xf numFmtId="1" fontId="96" fillId="0" borderId="0" xfId="0" applyNumberFormat="1" applyFont="1" applyBorder="1" applyAlignment="1">
      <alignment horizontal="right"/>
    </xf>
    <xf numFmtId="1" fontId="94" fillId="0" borderId="5" xfId="5" applyNumberFormat="1" applyFont="1" applyBorder="1" applyAlignment="1">
      <alignment horizontal="right" vertical="center" wrapText="1"/>
    </xf>
    <xf numFmtId="1" fontId="94" fillId="0" borderId="15" xfId="5" applyNumberFormat="1" applyFont="1" applyBorder="1" applyAlignment="1">
      <alignment horizontal="right" vertical="center"/>
    </xf>
    <xf numFmtId="3" fontId="94" fillId="0" borderId="4" xfId="5" applyNumberFormat="1" applyFont="1" applyBorder="1" applyAlignment="1">
      <alignment horizontal="right" vertical="center" wrapText="1"/>
    </xf>
    <xf numFmtId="3" fontId="94" fillId="0" borderId="70" xfId="5" applyNumberFormat="1" applyFont="1" applyBorder="1" applyAlignment="1">
      <alignment horizontal="right"/>
    </xf>
    <xf numFmtId="49" fontId="103" fillId="3" borderId="43" xfId="0" applyNumberFormat="1" applyFont="1" applyFill="1" applyBorder="1"/>
    <xf numFmtId="3" fontId="103" fillId="3" borderId="43" xfId="0" applyNumberFormat="1" applyFont="1" applyFill="1" applyBorder="1"/>
    <xf numFmtId="3" fontId="103" fillId="3" borderId="55" xfId="0" applyNumberFormat="1" applyFont="1" applyFill="1" applyBorder="1"/>
    <xf numFmtId="49" fontId="94" fillId="7" borderId="14" xfId="0" applyNumberFormat="1" applyFont="1" applyFill="1" applyBorder="1" applyAlignment="1">
      <alignment horizontal="center"/>
    </xf>
    <xf numFmtId="0" fontId="94" fillId="7" borderId="5" xfId="0" applyFont="1" applyFill="1" applyBorder="1" applyAlignment="1">
      <alignment wrapText="1"/>
    </xf>
    <xf numFmtId="0" fontId="94" fillId="0" borderId="5" xfId="0" applyFont="1" applyBorder="1" applyAlignment="1">
      <alignment horizontal="center" vertical="center"/>
    </xf>
    <xf numFmtId="0" fontId="96" fillId="0" borderId="30" xfId="0" applyFont="1" applyBorder="1" applyAlignment="1">
      <alignment wrapText="1"/>
    </xf>
    <xf numFmtId="0" fontId="95" fillId="0" borderId="28" xfId="0" applyFont="1" applyBorder="1" applyAlignment="1">
      <alignment horizontal="left" vertical="center"/>
    </xf>
    <xf numFmtId="0" fontId="94" fillId="0" borderId="28" xfId="0" applyFont="1" applyBorder="1"/>
    <xf numFmtId="0" fontId="95" fillId="0" borderId="1" xfId="0" applyFont="1" applyBorder="1" applyAlignment="1">
      <alignment horizontal="left" vertical="center"/>
    </xf>
    <xf numFmtId="0" fontId="95" fillId="0" borderId="4" xfId="0" applyFont="1" applyBorder="1" applyAlignment="1">
      <alignment horizontal="left" vertical="center"/>
    </xf>
    <xf numFmtId="0" fontId="95" fillId="7" borderId="28" xfId="0" applyFont="1" applyFill="1" applyBorder="1" applyAlignment="1">
      <alignment horizontal="left" vertical="center"/>
    </xf>
    <xf numFmtId="0" fontId="95" fillId="3" borderId="43" xfId="0" applyFont="1" applyFill="1" applyBorder="1" applyAlignment="1">
      <alignment horizontal="left" vertical="center"/>
    </xf>
    <xf numFmtId="0" fontId="95" fillId="3" borderId="4" xfId="0" applyFont="1" applyFill="1" applyBorder="1" applyAlignment="1">
      <alignment horizontal="left" vertical="center"/>
    </xf>
    <xf numFmtId="0" fontId="95" fillId="0" borderId="5" xfId="0" applyFont="1" applyBorder="1" applyAlignment="1">
      <alignment horizontal="left" vertical="center"/>
    </xf>
    <xf numFmtId="1" fontId="94" fillId="0" borderId="0" xfId="5" applyNumberFormat="1" applyFont="1" applyAlignment="1">
      <alignment horizontal="right"/>
    </xf>
    <xf numFmtId="3" fontId="94" fillId="0" borderId="23" xfId="5" applyNumberFormat="1" applyFont="1" applyBorder="1" applyAlignment="1">
      <alignment horizontal="center" vertical="center"/>
    </xf>
    <xf numFmtId="0" fontId="95" fillId="0" borderId="12" xfId="0" applyFont="1" applyBorder="1" applyAlignment="1">
      <alignment horizontal="left" vertical="center"/>
    </xf>
    <xf numFmtId="0" fontId="95" fillId="0" borderId="29" xfId="0" applyFont="1" applyBorder="1" applyAlignment="1">
      <alignment horizontal="left" vertical="center"/>
    </xf>
    <xf numFmtId="49" fontId="95" fillId="7" borderId="19" xfId="0" applyNumberFormat="1" applyFont="1" applyFill="1" applyBorder="1" applyAlignment="1">
      <alignment horizontal="center" vertical="center"/>
    </xf>
    <xf numFmtId="3" fontId="95" fillId="0" borderId="40" xfId="5" applyNumberFormat="1" applyFont="1" applyBorder="1" applyAlignment="1">
      <alignment horizontal="right" vertical="center"/>
    </xf>
    <xf numFmtId="49" fontId="103" fillId="3" borderId="6" xfId="0" applyNumberFormat="1" applyFont="1" applyFill="1" applyBorder="1" applyAlignment="1">
      <alignment wrapText="1"/>
    </xf>
    <xf numFmtId="0" fontId="95" fillId="3" borderId="6" xfId="0" applyFont="1" applyFill="1" applyBorder="1" applyAlignment="1">
      <alignment horizontal="left" vertical="center"/>
    </xf>
    <xf numFmtId="1" fontId="95" fillId="0" borderId="23" xfId="5" applyNumberFormat="1" applyFont="1" applyBorder="1" applyAlignment="1">
      <alignment horizontal="right"/>
    </xf>
    <xf numFmtId="3" fontId="94" fillId="3" borderId="13" xfId="5" applyNumberFormat="1" applyFont="1" applyFill="1" applyBorder="1" applyAlignment="1">
      <alignment horizontal="right" vertical="center"/>
    </xf>
    <xf numFmtId="3" fontId="94" fillId="3" borderId="15" xfId="5" applyNumberFormat="1" applyFont="1" applyFill="1" applyBorder="1" applyAlignment="1">
      <alignment horizontal="right" vertical="center"/>
    </xf>
    <xf numFmtId="3" fontId="94" fillId="3" borderId="23" xfId="5" applyNumberFormat="1" applyFont="1" applyFill="1" applyBorder="1" applyAlignment="1">
      <alignment horizontal="right" vertical="center"/>
    </xf>
    <xf numFmtId="3" fontId="103" fillId="0" borderId="6" xfId="0" applyNumberFormat="1" applyFont="1" applyBorder="1" applyAlignment="1">
      <alignment horizontal="right"/>
    </xf>
    <xf numFmtId="3" fontId="94" fillId="0" borderId="10" xfId="5" applyNumberFormat="1" applyFont="1" applyBorder="1" applyAlignment="1">
      <alignment horizontal="right" vertical="center"/>
    </xf>
    <xf numFmtId="49" fontId="96" fillId="3" borderId="43" xfId="0" applyNumberFormat="1" applyFont="1" applyFill="1" applyBorder="1"/>
    <xf numFmtId="0" fontId="94" fillId="0" borderId="29" xfId="0" applyFont="1" applyBorder="1" applyAlignment="1">
      <alignment horizontal="left" vertical="center"/>
    </xf>
    <xf numFmtId="49" fontId="96" fillId="0" borderId="14" xfId="0" applyNumberFormat="1" applyFont="1" applyBorder="1"/>
    <xf numFmtId="0" fontId="96" fillId="0" borderId="5" xfId="0" applyFont="1" applyBorder="1"/>
    <xf numFmtId="3" fontId="96" fillId="0" borderId="5" xfId="0" applyNumberFormat="1" applyFont="1" applyBorder="1"/>
    <xf numFmtId="0" fontId="94" fillId="0" borderId="5" xfId="0" applyFont="1" applyBorder="1" applyAlignment="1">
      <alignment horizontal="left" vertical="center"/>
    </xf>
    <xf numFmtId="3" fontId="95" fillId="7" borderId="5" xfId="5" applyNumberFormat="1" applyFont="1" applyFill="1" applyBorder="1" applyAlignment="1">
      <alignment horizontal="right" vertical="center" wrapText="1"/>
    </xf>
    <xf numFmtId="3" fontId="94" fillId="7" borderId="15" xfId="5" applyNumberFormat="1" applyFont="1" applyFill="1" applyBorder="1" applyAlignment="1">
      <alignment horizontal="right" vertical="center"/>
    </xf>
    <xf numFmtId="0" fontId="48" fillId="0" borderId="30" xfId="0" applyFont="1" applyBorder="1" applyAlignment="1">
      <alignment horizontal="center"/>
    </xf>
    <xf numFmtId="0" fontId="48" fillId="0" borderId="32" xfId="0" applyFont="1" applyBorder="1" applyAlignment="1">
      <alignment horizontal="center"/>
    </xf>
    <xf numFmtId="0" fontId="75" fillId="3" borderId="9" xfId="0" applyFont="1" applyFill="1" applyBorder="1" applyAlignment="1">
      <alignment wrapText="1"/>
    </xf>
    <xf numFmtId="49" fontId="74" fillId="0" borderId="11" xfId="0" applyNumberFormat="1" applyFont="1" applyBorder="1" applyAlignment="1">
      <alignment horizontal="center" vertical="center"/>
    </xf>
    <xf numFmtId="3" fontId="75" fillId="4" borderId="77" xfId="5" applyNumberFormat="1" applyFont="1" applyFill="1" applyBorder="1" applyAlignment="1">
      <alignment horizontal="right" vertical="center"/>
    </xf>
    <xf numFmtId="0" fontId="74" fillId="0" borderId="0" xfId="0" applyFont="1" applyBorder="1"/>
    <xf numFmtId="49" fontId="74" fillId="0" borderId="11" xfId="0" applyNumberFormat="1" applyFont="1" applyBorder="1" applyAlignment="1">
      <alignment horizontal="center" wrapText="1"/>
    </xf>
    <xf numFmtId="3" fontId="74" fillId="0" borderId="12" xfId="5" applyNumberFormat="1" applyFont="1" applyBorder="1" applyAlignment="1">
      <alignment horizontal="right" vertical="center" wrapText="1"/>
    </xf>
    <xf numFmtId="3" fontId="75" fillId="0" borderId="12" xfId="5" applyNumberFormat="1" applyFont="1" applyBorder="1" applyAlignment="1">
      <alignment horizontal="right" vertical="center" wrapText="1"/>
    </xf>
    <xf numFmtId="3" fontId="75" fillId="0" borderId="56" xfId="5" applyNumberFormat="1" applyFont="1" applyBorder="1" applyAlignment="1">
      <alignment horizontal="right" vertical="center" wrapText="1"/>
    </xf>
    <xf numFmtId="49" fontId="74" fillId="0" borderId="17" xfId="0" applyNumberFormat="1" applyFont="1" applyBorder="1" applyAlignment="1">
      <alignment horizontal="center" vertical="center"/>
    </xf>
    <xf numFmtId="0" fontId="74" fillId="0" borderId="52" xfId="0" applyFont="1" applyBorder="1" applyAlignment="1">
      <alignment wrapText="1"/>
    </xf>
    <xf numFmtId="3" fontId="74" fillId="0" borderId="52" xfId="5" applyNumberFormat="1" applyFont="1" applyBorder="1" applyAlignment="1">
      <alignment horizontal="right" vertical="center" wrapText="1"/>
    </xf>
    <xf numFmtId="3" fontId="75" fillId="0" borderId="52" xfId="5" applyNumberFormat="1" applyFont="1" applyBorder="1" applyAlignment="1">
      <alignment horizontal="right" vertical="center" wrapText="1"/>
    </xf>
    <xf numFmtId="3" fontId="74" fillId="0" borderId="52" xfId="5" applyNumberFormat="1" applyFont="1" applyBorder="1" applyAlignment="1">
      <alignment horizontal="center" vertical="center" wrapText="1"/>
    </xf>
    <xf numFmtId="3" fontId="75" fillId="0" borderId="64" xfId="5" applyNumberFormat="1" applyFont="1" applyBorder="1" applyAlignment="1">
      <alignment horizontal="right" vertical="center" wrapText="1"/>
    </xf>
    <xf numFmtId="3" fontId="75" fillId="4" borderId="74" xfId="5" applyNumberFormat="1" applyFont="1" applyFill="1" applyBorder="1" applyAlignment="1">
      <alignment horizontal="right" vertical="center"/>
    </xf>
    <xf numFmtId="3" fontId="75" fillId="7" borderId="52" xfId="5" applyNumberFormat="1" applyFont="1" applyFill="1" applyBorder="1" applyAlignment="1">
      <alignment horizontal="right" vertical="center" wrapText="1"/>
    </xf>
    <xf numFmtId="3" fontId="74" fillId="7" borderId="52" xfId="5" applyNumberFormat="1" applyFont="1" applyFill="1" applyBorder="1" applyAlignment="1">
      <alignment horizontal="center" vertical="center" wrapText="1"/>
    </xf>
    <xf numFmtId="3" fontId="75" fillId="7" borderId="64" xfId="5" applyNumberFormat="1" applyFont="1" applyFill="1" applyBorder="1" applyAlignment="1">
      <alignment horizontal="right" vertical="center" wrapText="1"/>
    </xf>
    <xf numFmtId="3" fontId="75" fillId="5" borderId="74" xfId="5" applyNumberFormat="1" applyFont="1" applyFill="1" applyBorder="1" applyAlignment="1">
      <alignment horizontal="right" vertical="center"/>
    </xf>
    <xf numFmtId="3" fontId="74" fillId="0" borderId="52" xfId="5" applyNumberFormat="1" applyFont="1" applyBorder="1" applyAlignment="1">
      <alignment horizontal="right"/>
    </xf>
    <xf numFmtId="3" fontId="74" fillId="0" borderId="64" xfId="5" applyNumberFormat="1" applyFont="1" applyBorder="1" applyAlignment="1">
      <alignment horizontal="right"/>
    </xf>
    <xf numFmtId="49" fontId="74" fillId="0" borderId="17" xfId="0" applyNumberFormat="1" applyFont="1" applyBorder="1" applyAlignment="1">
      <alignment horizontal="center"/>
    </xf>
    <xf numFmtId="3" fontId="89" fillId="0" borderId="52" xfId="5" applyNumberFormat="1" applyFont="1" applyBorder="1" applyAlignment="1">
      <alignment horizontal="right"/>
    </xf>
    <xf numFmtId="3" fontId="89" fillId="0" borderId="12" xfId="5" applyNumberFormat="1" applyFont="1" applyBorder="1" applyAlignment="1">
      <alignment horizontal="right"/>
    </xf>
    <xf numFmtId="3" fontId="75" fillId="4" borderId="77" xfId="5" applyNumberFormat="1" applyFont="1" applyFill="1" applyBorder="1" applyAlignment="1">
      <alignment horizontal="right"/>
    </xf>
    <xf numFmtId="49" fontId="74" fillId="0" borderId="17" xfId="0" applyNumberFormat="1" applyFont="1" applyBorder="1" applyAlignment="1">
      <alignment horizontal="center" wrapText="1"/>
    </xf>
    <xf numFmtId="0" fontId="74" fillId="7" borderId="52" xfId="0" applyFont="1" applyFill="1" applyBorder="1"/>
    <xf numFmtId="49" fontId="74" fillId="0" borderId="17" xfId="0" applyNumberFormat="1" applyFont="1" applyBorder="1" applyAlignment="1">
      <alignment horizontal="left" wrapText="1"/>
    </xf>
    <xf numFmtId="3" fontId="74" fillId="0" borderId="52" xfId="5" applyNumberFormat="1" applyFont="1" applyBorder="1" applyAlignment="1">
      <alignment horizontal="center" wrapText="1"/>
    </xf>
    <xf numFmtId="3" fontId="74" fillId="0" borderId="64" xfId="5" applyNumberFormat="1" applyFont="1" applyBorder="1" applyAlignment="1">
      <alignment horizontal="center" wrapText="1"/>
    </xf>
    <xf numFmtId="3" fontId="74" fillId="4" borderId="40" xfId="5" applyNumberFormat="1" applyFont="1" applyFill="1" applyBorder="1" applyAlignment="1">
      <alignment horizontal="right"/>
    </xf>
    <xf numFmtId="3" fontId="74" fillId="0" borderId="12" xfId="5" applyNumberFormat="1" applyFont="1" applyBorder="1" applyAlignment="1">
      <alignment horizontal="center" wrapText="1"/>
    </xf>
    <xf numFmtId="3" fontId="74" fillId="0" borderId="56" xfId="5" applyNumberFormat="1" applyFont="1" applyBorder="1" applyAlignment="1">
      <alignment horizontal="center" wrapText="1"/>
    </xf>
    <xf numFmtId="3" fontId="74" fillId="0" borderId="52" xfId="0" applyNumberFormat="1" applyFont="1" applyBorder="1" applyAlignment="1">
      <alignment horizontal="right"/>
    </xf>
    <xf numFmtId="3" fontId="74" fillId="0" borderId="64" xfId="0" applyNumberFormat="1" applyFont="1" applyBorder="1" applyAlignment="1">
      <alignment horizontal="right"/>
    </xf>
    <xf numFmtId="3" fontId="74" fillId="0" borderId="52" xfId="5" quotePrefix="1" applyNumberFormat="1" applyFont="1" applyBorder="1" applyAlignment="1">
      <alignment horizontal="right"/>
    </xf>
    <xf numFmtId="3" fontId="40" fillId="7" borderId="12" xfId="5" applyNumberFormat="1" applyFont="1" applyFill="1" applyBorder="1" applyAlignment="1">
      <alignment horizontal="right"/>
    </xf>
    <xf numFmtId="3" fontId="74" fillId="5" borderId="40" xfId="5" applyNumberFormat="1" applyFont="1" applyFill="1" applyBorder="1" applyAlignment="1">
      <alignment horizontal="right"/>
    </xf>
    <xf numFmtId="3" fontId="74" fillId="0" borderId="12" xfId="5" applyNumberFormat="1" applyFont="1" applyBorder="1" applyAlignment="1">
      <alignment horizontal="center" vertical="center" wrapText="1"/>
    </xf>
    <xf numFmtId="3" fontId="74" fillId="0" borderId="12" xfId="5" applyNumberFormat="1" applyFont="1" applyBorder="1" applyAlignment="1">
      <alignment horizontal="center"/>
    </xf>
    <xf numFmtId="3" fontId="74" fillId="0" borderId="12" xfId="5" applyNumberFormat="1" applyFont="1" applyBorder="1"/>
    <xf numFmtId="49" fontId="74" fillId="0" borderId="11" xfId="0" applyNumberFormat="1" applyFont="1" applyBorder="1" applyAlignment="1">
      <alignment horizontal="left" wrapText="1"/>
    </xf>
    <xf numFmtId="0" fontId="7" fillId="0" borderId="0" xfId="0" applyFont="1" applyBorder="1"/>
    <xf numFmtId="0" fontId="5" fillId="0" borderId="16" xfId="0" applyFont="1" applyBorder="1"/>
    <xf numFmtId="0" fontId="7" fillId="0" borderId="23" xfId="0" applyFont="1" applyBorder="1" applyAlignment="1">
      <alignment horizontal="center" wrapText="1"/>
    </xf>
    <xf numFmtId="0" fontId="7" fillId="0" borderId="23" xfId="0" applyFont="1" applyBorder="1"/>
    <xf numFmtId="3" fontId="7" fillId="0" borderId="23" xfId="0" applyNumberFormat="1" applyFont="1" applyBorder="1"/>
    <xf numFmtId="0" fontId="0" fillId="0" borderId="16" xfId="0" applyBorder="1" applyAlignment="1">
      <alignment wrapText="1"/>
    </xf>
    <xf numFmtId="3" fontId="7" fillId="0" borderId="13" xfId="0" applyNumberFormat="1" applyFont="1" applyBorder="1"/>
    <xf numFmtId="0" fontId="7" fillId="0" borderId="40" xfId="0" applyFont="1" applyBorder="1"/>
    <xf numFmtId="3" fontId="7" fillId="0" borderId="0" xfId="0" applyNumberFormat="1" applyFont="1" applyBorder="1"/>
    <xf numFmtId="0" fontId="7" fillId="0" borderId="53" xfId="0" applyFont="1" applyBorder="1"/>
    <xf numFmtId="3" fontId="9" fillId="0" borderId="22" xfId="0" applyNumberFormat="1" applyFont="1" applyBorder="1"/>
    <xf numFmtId="0" fontId="5" fillId="0" borderId="14" xfId="0" applyFont="1" applyBorder="1"/>
    <xf numFmtId="0" fontId="0" fillId="0" borderId="20" xfId="0" applyBorder="1"/>
    <xf numFmtId="0" fontId="9" fillId="0" borderId="14" xfId="0" applyFont="1" applyBorder="1"/>
    <xf numFmtId="49" fontId="95" fillId="0" borderId="11" xfId="0" applyNumberFormat="1" applyFont="1" applyBorder="1" applyAlignment="1">
      <alignment horizontal="left" wrapText="1"/>
    </xf>
    <xf numFmtId="0" fontId="95" fillId="0" borderId="12" xfId="0" applyFont="1" applyBorder="1"/>
    <xf numFmtId="170" fontId="95" fillId="0" borderId="12" xfId="5" applyNumberFormat="1" applyFont="1" applyBorder="1" applyAlignment="1">
      <alignment horizontal="right"/>
    </xf>
    <xf numFmtId="170" fontId="95" fillId="0" borderId="13" xfId="5" applyNumberFormat="1" applyFont="1" applyBorder="1" applyAlignment="1">
      <alignment horizontal="right"/>
    </xf>
    <xf numFmtId="170" fontId="94" fillId="0" borderId="77" xfId="5" applyNumberFormat="1" applyFont="1" applyBorder="1" applyAlignment="1">
      <alignment horizontal="right" vertical="center"/>
    </xf>
    <xf numFmtId="49" fontId="95" fillId="0" borderId="17" xfId="0" applyNumberFormat="1" applyFont="1" applyBorder="1" applyAlignment="1">
      <alignment horizontal="center" vertical="center"/>
    </xf>
    <xf numFmtId="0" fontId="95" fillId="0" borderId="52" xfId="0" applyFont="1" applyBorder="1" applyAlignment="1">
      <alignment wrapText="1"/>
    </xf>
    <xf numFmtId="170" fontId="95" fillId="0" borderId="52" xfId="5" applyNumberFormat="1" applyFont="1" applyBorder="1" applyAlignment="1">
      <alignment horizontal="right"/>
    </xf>
    <xf numFmtId="170" fontId="95" fillId="0" borderId="40" xfId="5" applyNumberFormat="1" applyFont="1" applyBorder="1" applyAlignment="1">
      <alignment horizontal="right"/>
    </xf>
    <xf numFmtId="170" fontId="94" fillId="0" borderId="74" xfId="5" applyNumberFormat="1" applyFont="1" applyBorder="1" applyAlignment="1">
      <alignment horizontal="right" vertical="center"/>
    </xf>
    <xf numFmtId="49" fontId="95" fillId="0" borderId="17" xfId="0" applyNumberFormat="1" applyFont="1" applyBorder="1" applyAlignment="1">
      <alignment horizontal="center" wrapText="1"/>
    </xf>
    <xf numFmtId="0" fontId="95" fillId="0" borderId="12" xfId="0" applyFont="1" applyBorder="1" applyAlignment="1">
      <alignment wrapText="1"/>
    </xf>
    <xf numFmtId="170" fontId="95" fillId="0" borderId="52" xfId="5" applyNumberFormat="1" applyFont="1" applyBorder="1" applyAlignment="1">
      <alignment horizontal="center" vertical="center" wrapText="1"/>
    </xf>
    <xf numFmtId="170" fontId="94" fillId="0" borderId="52" xfId="5" applyNumberFormat="1" applyFont="1" applyBorder="1" applyAlignment="1">
      <alignment horizontal="right" vertical="center" wrapText="1"/>
    </xf>
    <xf numFmtId="170" fontId="94" fillId="0" borderId="40" xfId="5" applyNumberFormat="1" applyFont="1" applyBorder="1" applyAlignment="1">
      <alignment horizontal="right" vertical="center" wrapText="1"/>
    </xf>
    <xf numFmtId="170" fontId="95" fillId="0" borderId="52" xfId="5" applyNumberFormat="1" applyFont="1" applyBorder="1" applyAlignment="1">
      <alignment horizontal="right" vertical="center" wrapText="1"/>
    </xf>
    <xf numFmtId="49" fontId="94" fillId="0" borderId="14" xfId="0" applyNumberFormat="1" applyFont="1" applyBorder="1" applyAlignment="1">
      <alignment wrapText="1"/>
    </xf>
    <xf numFmtId="49" fontId="100" fillId="7" borderId="17" xfId="0" applyNumberFormat="1" applyFont="1" applyFill="1" applyBorder="1" applyAlignment="1">
      <alignment horizontal="center"/>
    </xf>
    <xf numFmtId="0" fontId="94" fillId="0" borderId="12" xfId="0" applyFont="1" applyBorder="1" applyAlignment="1">
      <alignment wrapText="1"/>
    </xf>
    <xf numFmtId="49" fontId="46" fillId="0" borderId="17" xfId="0" applyNumberFormat="1" applyFont="1" applyBorder="1" applyAlignment="1">
      <alignment horizontal="left" wrapText="1"/>
    </xf>
    <xf numFmtId="3" fontId="46" fillId="0" borderId="52" xfId="5" applyNumberFormat="1" applyFont="1" applyBorder="1" applyAlignment="1">
      <alignment horizontal="center" wrapText="1"/>
    </xf>
    <xf numFmtId="3" fontId="46" fillId="4" borderId="40" xfId="5" applyNumberFormat="1" applyFont="1" applyFill="1" applyBorder="1" applyAlignment="1">
      <alignment horizontal="right"/>
    </xf>
    <xf numFmtId="49" fontId="46" fillId="0" borderId="11" xfId="0" applyNumberFormat="1" applyFont="1" applyBorder="1" applyAlignment="1">
      <alignment horizontal="center"/>
    </xf>
    <xf numFmtId="3" fontId="46" fillId="0" borderId="12" xfId="5" applyNumberFormat="1" applyFont="1" applyBorder="1" applyAlignment="1">
      <alignment horizontal="right"/>
    </xf>
    <xf numFmtId="3" fontId="46" fillId="0" borderId="12" xfId="0" applyNumberFormat="1" applyFont="1" applyBorder="1" applyAlignment="1">
      <alignment horizontal="right"/>
    </xf>
    <xf numFmtId="3" fontId="46" fillId="0" borderId="52" xfId="5" quotePrefix="1" applyNumberFormat="1" applyFont="1" applyBorder="1" applyAlignment="1">
      <alignment horizontal="right"/>
    </xf>
    <xf numFmtId="3" fontId="46" fillId="5" borderId="13" xfId="5" applyNumberFormat="1" applyFont="1" applyFill="1" applyBorder="1" applyAlignment="1">
      <alignment horizontal="right"/>
    </xf>
    <xf numFmtId="0" fontId="115" fillId="0" borderId="5" xfId="5" applyNumberFormat="1" applyFont="1" applyBorder="1" applyAlignment="1">
      <alignment horizontal="center" wrapText="1"/>
    </xf>
    <xf numFmtId="168" fontId="115" fillId="0" borderId="5" xfId="5" applyNumberFormat="1" applyFont="1" applyBorder="1" applyAlignment="1">
      <alignment horizontal="center" wrapText="1"/>
    </xf>
    <xf numFmtId="168" fontId="115" fillId="0" borderId="60" xfId="5" applyNumberFormat="1" applyFont="1" applyBorder="1" applyAlignment="1">
      <alignment horizontal="center" wrapText="1"/>
    </xf>
    <xf numFmtId="168" fontId="115" fillId="0" borderId="8" xfId="5" applyNumberFormat="1" applyFont="1" applyBorder="1" applyAlignment="1">
      <alignment horizontal="center" wrapText="1"/>
    </xf>
    <xf numFmtId="49" fontId="115" fillId="0" borderId="16" xfId="0" applyNumberFormat="1" applyFont="1" applyBorder="1" applyAlignment="1">
      <alignment horizontal="center" wrapText="1"/>
    </xf>
    <xf numFmtId="0" fontId="115" fillId="0" borderId="4" xfId="0" applyFont="1" applyBorder="1" applyAlignment="1">
      <alignment horizontal="center" wrapText="1"/>
    </xf>
    <xf numFmtId="168" fontId="115" fillId="0" borderId="4" xfId="5" applyNumberFormat="1" applyFont="1" applyBorder="1" applyAlignment="1">
      <alignment horizontal="center" wrapText="1"/>
    </xf>
    <xf numFmtId="168" fontId="115" fillId="0" borderId="62" xfId="5" applyNumberFormat="1" applyFont="1" applyBorder="1" applyAlignment="1">
      <alignment horizontal="center" wrapText="1"/>
    </xf>
    <xf numFmtId="168" fontId="115" fillId="0" borderId="41" xfId="5" applyNumberFormat="1" applyFont="1" applyBorder="1" applyAlignment="1">
      <alignment horizontal="center"/>
    </xf>
    <xf numFmtId="168" fontId="115" fillId="0" borderId="6" xfId="5" applyNumberFormat="1" applyFont="1" applyBorder="1" applyAlignment="1">
      <alignment horizontal="center" wrapText="1"/>
    </xf>
    <xf numFmtId="168" fontId="115" fillId="0" borderId="7" xfId="5" applyNumberFormat="1" applyFont="1" applyBorder="1" applyAlignment="1">
      <alignment horizontal="center" wrapText="1"/>
    </xf>
    <xf numFmtId="168" fontId="115" fillId="0" borderId="73" xfId="5" applyNumberFormat="1" applyFont="1" applyBorder="1" applyAlignment="1">
      <alignment horizontal="center"/>
    </xf>
    <xf numFmtId="49" fontId="115" fillId="0" borderId="8" xfId="0" applyNumberFormat="1" applyFont="1" applyBorder="1" applyAlignment="1">
      <alignment horizontal="center" vertical="center"/>
    </xf>
    <xf numFmtId="0" fontId="115" fillId="0" borderId="9" xfId="0" applyFont="1" applyBorder="1" applyAlignment="1">
      <alignment wrapText="1"/>
    </xf>
    <xf numFmtId="3" fontId="113" fillId="0" borderId="9" xfId="5" applyNumberFormat="1" applyFont="1" applyBorder="1" applyAlignment="1">
      <alignment horizontal="right"/>
    </xf>
    <xf numFmtId="3" fontId="113" fillId="0" borderId="10" xfId="5" applyNumberFormat="1" applyFont="1" applyBorder="1" applyAlignment="1">
      <alignment horizontal="right"/>
    </xf>
    <xf numFmtId="3" fontId="115" fillId="0" borderId="76" xfId="5" applyNumberFormat="1" applyFont="1" applyBorder="1" applyAlignment="1">
      <alignment horizontal="right" vertical="center"/>
    </xf>
    <xf numFmtId="49" fontId="113" fillId="0" borderId="16" xfId="0" applyNumberFormat="1" applyFont="1" applyBorder="1" applyAlignment="1">
      <alignment horizontal="center" vertical="center"/>
    </xf>
    <xf numFmtId="3" fontId="113" fillId="0" borderId="23" xfId="5" applyNumberFormat="1" applyFont="1" applyBorder="1" applyAlignment="1">
      <alignment horizontal="right"/>
    </xf>
    <xf numFmtId="3" fontId="115" fillId="0" borderId="41" xfId="5" applyNumberFormat="1" applyFont="1" applyBorder="1" applyAlignment="1">
      <alignment horizontal="right" vertical="center"/>
    </xf>
    <xf numFmtId="49" fontId="113" fillId="0" borderId="11" xfId="0" applyNumberFormat="1" applyFont="1" applyBorder="1" applyAlignment="1">
      <alignment horizontal="center" vertical="center"/>
    </xf>
    <xf numFmtId="0" fontId="113" fillId="0" borderId="12" xfId="0" applyFont="1" applyBorder="1" applyAlignment="1">
      <alignment wrapText="1"/>
    </xf>
    <xf numFmtId="3" fontId="113" fillId="0" borderId="12" xfId="5" applyNumberFormat="1" applyFont="1" applyBorder="1" applyAlignment="1">
      <alignment horizontal="right"/>
    </xf>
    <xf numFmtId="3" fontId="113" fillId="0" borderId="13" xfId="5" applyNumberFormat="1" applyFont="1" applyBorder="1" applyAlignment="1">
      <alignment horizontal="right"/>
    </xf>
    <xf numFmtId="3" fontId="115" fillId="0" borderId="77" xfId="5" applyNumberFormat="1" applyFont="1" applyBorder="1" applyAlignment="1">
      <alignment horizontal="right" vertical="center"/>
    </xf>
    <xf numFmtId="49" fontId="115" fillId="0" borderId="14" xfId="0" applyNumberFormat="1" applyFont="1" applyBorder="1" applyAlignment="1">
      <alignment horizontal="center" vertical="center"/>
    </xf>
    <xf numFmtId="0" fontId="115" fillId="0" borderId="5" xfId="0" applyFont="1" applyBorder="1" applyAlignment="1">
      <alignment wrapText="1"/>
    </xf>
    <xf numFmtId="3" fontId="113" fillId="0" borderId="15" xfId="5" applyNumberFormat="1" applyFont="1" applyBorder="1" applyAlignment="1">
      <alignment horizontal="right"/>
    </xf>
    <xf numFmtId="3" fontId="115" fillId="0" borderId="42" xfId="5" applyNumberFormat="1" applyFont="1" applyBorder="1" applyAlignment="1">
      <alignment horizontal="right" vertical="center"/>
    </xf>
    <xf numFmtId="49" fontId="113" fillId="0" borderId="17" xfId="0" applyNumberFormat="1" applyFont="1" applyBorder="1" applyAlignment="1">
      <alignment horizontal="center" vertical="center"/>
    </xf>
    <xf numFmtId="0" fontId="113" fillId="0" borderId="52" xfId="0" applyFont="1" applyBorder="1" applyAlignment="1">
      <alignment wrapText="1"/>
    </xf>
    <xf numFmtId="3" fontId="113" fillId="0" borderId="52" xfId="5" applyNumberFormat="1" applyFont="1" applyBorder="1" applyAlignment="1">
      <alignment horizontal="right"/>
    </xf>
    <xf numFmtId="3" fontId="113" fillId="0" borderId="40" xfId="5" applyNumberFormat="1" applyFont="1" applyBorder="1" applyAlignment="1">
      <alignment horizontal="right"/>
    </xf>
    <xf numFmtId="3" fontId="115" fillId="0" borderId="74" xfId="5" applyNumberFormat="1" applyFont="1" applyBorder="1" applyAlignment="1">
      <alignment horizontal="right" vertical="center"/>
    </xf>
    <xf numFmtId="49" fontId="115" fillId="0" borderId="14" xfId="0" applyNumberFormat="1" applyFont="1" applyBorder="1" applyAlignment="1">
      <alignment horizontal="center" wrapText="1"/>
    </xf>
    <xf numFmtId="0" fontId="115" fillId="0" borderId="5" xfId="0" applyFont="1" applyBorder="1"/>
    <xf numFmtId="49" fontId="113" fillId="0" borderId="16" xfId="0" applyNumberFormat="1" applyFont="1" applyBorder="1" applyAlignment="1">
      <alignment horizontal="center" wrapText="1"/>
    </xf>
    <xf numFmtId="49" fontId="113" fillId="0" borderId="17" xfId="0" applyNumberFormat="1" applyFont="1" applyBorder="1" applyAlignment="1">
      <alignment horizontal="center" wrapText="1"/>
    </xf>
    <xf numFmtId="3" fontId="113" fillId="0" borderId="5" xfId="5" applyNumberFormat="1" applyFont="1" applyBorder="1" applyAlignment="1">
      <alignment horizontal="right" vertical="center" wrapText="1"/>
    </xf>
    <xf numFmtId="3" fontId="115" fillId="0" borderId="5" xfId="5" applyNumberFormat="1" applyFont="1" applyBorder="1" applyAlignment="1">
      <alignment horizontal="right" vertical="center" wrapText="1"/>
    </xf>
    <xf numFmtId="3" fontId="115" fillId="0" borderId="15" xfId="5" applyNumberFormat="1" applyFont="1" applyBorder="1" applyAlignment="1">
      <alignment horizontal="right" vertical="center" wrapText="1"/>
    </xf>
    <xf numFmtId="3" fontId="113" fillId="0" borderId="4" xfId="5" applyNumberFormat="1" applyFont="1" applyBorder="1" applyAlignment="1">
      <alignment horizontal="right" vertical="center" wrapText="1"/>
    </xf>
    <xf numFmtId="3" fontId="115" fillId="0" borderId="4" xfId="5" applyNumberFormat="1" applyFont="1" applyBorder="1" applyAlignment="1">
      <alignment horizontal="right" vertical="center" wrapText="1"/>
    </xf>
    <xf numFmtId="3" fontId="115" fillId="0" borderId="23" xfId="5" applyNumberFormat="1" applyFont="1" applyBorder="1" applyAlignment="1">
      <alignment horizontal="right" vertical="center" wrapText="1"/>
    </xf>
    <xf numFmtId="3" fontId="113" fillId="0" borderId="52" xfId="5" applyNumberFormat="1" applyFont="1" applyBorder="1" applyAlignment="1">
      <alignment horizontal="right" vertical="center" wrapText="1"/>
    </xf>
    <xf numFmtId="3" fontId="115" fillId="0" borderId="52" xfId="5" applyNumberFormat="1" applyFont="1" applyBorder="1" applyAlignment="1">
      <alignment horizontal="right" vertical="center" wrapText="1"/>
    </xf>
    <xf numFmtId="3" fontId="115" fillId="0" borderId="40" xfId="5" applyNumberFormat="1" applyFont="1" applyBorder="1" applyAlignment="1">
      <alignment horizontal="right" vertical="center" wrapText="1"/>
    </xf>
    <xf numFmtId="3" fontId="113" fillId="0" borderId="12" xfId="5" applyNumberFormat="1" applyFont="1" applyBorder="1" applyAlignment="1">
      <alignment horizontal="right" vertical="center" wrapText="1"/>
    </xf>
    <xf numFmtId="3" fontId="115" fillId="0" borderId="12" xfId="5" applyNumberFormat="1" applyFont="1" applyBorder="1" applyAlignment="1">
      <alignment horizontal="right" vertical="center" wrapText="1"/>
    </xf>
    <xf numFmtId="3" fontId="113" fillId="0" borderId="12" xfId="5" applyNumberFormat="1" applyFont="1" applyBorder="1" applyAlignment="1">
      <alignment horizontal="center" vertical="center" wrapText="1"/>
    </xf>
    <xf numFmtId="3" fontId="115" fillId="0" borderId="13" xfId="5" applyNumberFormat="1" applyFont="1" applyBorder="1" applyAlignment="1">
      <alignment horizontal="right" vertical="center" wrapText="1"/>
    </xf>
    <xf numFmtId="49" fontId="113" fillId="7" borderId="14" xfId="0" applyNumberFormat="1" applyFont="1" applyFill="1" applyBorder="1" applyAlignment="1">
      <alignment horizontal="center" vertical="center"/>
    </xf>
    <xf numFmtId="0" fontId="113" fillId="7" borderId="5" xfId="0" applyFont="1" applyFill="1" applyBorder="1" applyAlignment="1">
      <alignment wrapText="1"/>
    </xf>
    <xf numFmtId="3" fontId="113" fillId="7" borderId="5" xfId="5" applyNumberFormat="1" applyFont="1" applyFill="1" applyBorder="1" applyAlignment="1">
      <alignment horizontal="right"/>
    </xf>
    <xf numFmtId="3" fontId="113" fillId="7" borderId="15" xfId="5" applyNumberFormat="1" applyFont="1" applyFill="1" applyBorder="1" applyAlignment="1">
      <alignment horizontal="right"/>
    </xf>
    <xf numFmtId="3" fontId="115" fillId="7" borderId="42" xfId="5" applyNumberFormat="1" applyFont="1" applyFill="1" applyBorder="1" applyAlignment="1">
      <alignment horizontal="right" vertical="center"/>
    </xf>
    <xf numFmtId="49" fontId="113" fillId="7" borderId="17" xfId="0" applyNumberFormat="1" applyFont="1" applyFill="1" applyBorder="1" applyAlignment="1">
      <alignment horizontal="center" vertical="center"/>
    </xf>
    <xf numFmtId="0" fontId="113" fillId="7" borderId="52" xfId="0" applyFont="1" applyFill="1" applyBorder="1" applyAlignment="1">
      <alignment wrapText="1"/>
    </xf>
    <xf numFmtId="3" fontId="113" fillId="7" borderId="40" xfId="5" applyNumberFormat="1" applyFont="1" applyFill="1" applyBorder="1" applyAlignment="1">
      <alignment horizontal="right"/>
    </xf>
    <xf numFmtId="3" fontId="115" fillId="7" borderId="74" xfId="5" applyNumberFormat="1" applyFont="1" applyFill="1" applyBorder="1" applyAlignment="1">
      <alignment horizontal="right" vertical="center"/>
    </xf>
    <xf numFmtId="3" fontId="113" fillId="0" borderId="56" xfId="5" applyNumberFormat="1" applyFont="1" applyBorder="1" applyAlignment="1">
      <alignment horizontal="right"/>
    </xf>
    <xf numFmtId="3" fontId="113" fillId="0" borderId="60" xfId="5" applyNumberFormat="1" applyFont="1" applyBorder="1" applyAlignment="1">
      <alignment horizontal="right"/>
    </xf>
    <xf numFmtId="49" fontId="115" fillId="0" borderId="14" xfId="0" applyNumberFormat="1" applyFont="1" applyBorder="1" applyAlignment="1">
      <alignment horizontal="center"/>
    </xf>
    <xf numFmtId="49" fontId="113" fillId="0" borderId="17" xfId="0" applyNumberFormat="1" applyFont="1" applyBorder="1" applyAlignment="1">
      <alignment horizontal="center"/>
    </xf>
    <xf numFmtId="3" fontId="113" fillId="0" borderId="64" xfId="5" applyNumberFormat="1" applyFont="1" applyBorder="1" applyAlignment="1">
      <alignment horizontal="right"/>
    </xf>
    <xf numFmtId="49" fontId="115" fillId="7" borderId="14" xfId="0" applyNumberFormat="1" applyFont="1" applyFill="1" applyBorder="1" applyAlignment="1">
      <alignment horizontal="center"/>
    </xf>
    <xf numFmtId="0" fontId="115" fillId="7" borderId="5" xfId="0" applyFont="1" applyFill="1" applyBorder="1" applyAlignment="1">
      <alignment wrapText="1"/>
    </xf>
    <xf numFmtId="3" fontId="113" fillId="7" borderId="60" xfId="5" applyNumberFormat="1" applyFont="1" applyFill="1" applyBorder="1" applyAlignment="1">
      <alignment horizontal="right"/>
    </xf>
    <xf numFmtId="49" fontId="113" fillId="7" borderId="16" xfId="0" applyNumberFormat="1" applyFont="1" applyFill="1" applyBorder="1" applyAlignment="1">
      <alignment horizontal="center"/>
    </xf>
    <xf numFmtId="0" fontId="113" fillId="7" borderId="4" xfId="0" applyFont="1" applyFill="1" applyBorder="1" applyAlignment="1">
      <alignment wrapText="1"/>
    </xf>
    <xf numFmtId="3" fontId="113" fillId="7" borderId="4" xfId="5" applyNumberFormat="1" applyFont="1" applyFill="1" applyBorder="1" applyAlignment="1">
      <alignment horizontal="right"/>
    </xf>
    <xf numFmtId="3" fontId="113" fillId="7" borderId="62" xfId="5" applyNumberFormat="1" applyFont="1" applyFill="1" applyBorder="1" applyAlignment="1">
      <alignment horizontal="right"/>
    </xf>
    <xf numFmtId="3" fontId="115" fillId="7" borderId="41" xfId="5" applyNumberFormat="1" applyFont="1" applyFill="1" applyBorder="1" applyAlignment="1">
      <alignment horizontal="right" vertical="center"/>
    </xf>
    <xf numFmtId="3" fontId="113" fillId="7" borderId="64" xfId="5" applyNumberFormat="1" applyFont="1" applyFill="1" applyBorder="1" applyAlignment="1">
      <alignment horizontal="right"/>
    </xf>
    <xf numFmtId="3" fontId="116" fillId="7" borderId="5" xfId="5" applyNumberFormat="1" applyFont="1" applyFill="1" applyBorder="1" applyAlignment="1">
      <alignment horizontal="right"/>
    </xf>
    <xf numFmtId="3" fontId="116" fillId="7" borderId="60" xfId="5" applyNumberFormat="1" applyFont="1" applyFill="1" applyBorder="1" applyAlignment="1">
      <alignment horizontal="right"/>
    </xf>
    <xf numFmtId="3" fontId="117" fillId="7" borderId="42" xfId="5" applyNumberFormat="1" applyFont="1" applyFill="1" applyBorder="1" applyAlignment="1">
      <alignment horizontal="right" vertical="center"/>
    </xf>
    <xf numFmtId="49" fontId="116" fillId="7" borderId="16" xfId="0" applyNumberFormat="1" applyFont="1" applyFill="1" applyBorder="1" applyAlignment="1">
      <alignment horizontal="center"/>
    </xf>
    <xf numFmtId="3" fontId="115" fillId="0" borderId="68" xfId="0" applyNumberFormat="1" applyFont="1" applyBorder="1" applyAlignment="1">
      <alignment horizontal="right"/>
    </xf>
    <xf numFmtId="3" fontId="115" fillId="0" borderId="69" xfId="0" applyNumberFormat="1" applyFont="1" applyBorder="1" applyAlignment="1">
      <alignment horizontal="right"/>
    </xf>
    <xf numFmtId="49" fontId="115" fillId="4" borderId="12" xfId="0" applyNumberFormat="1" applyFont="1" applyFill="1" applyBorder="1" applyAlignment="1">
      <alignment wrapText="1"/>
    </xf>
    <xf numFmtId="0" fontId="113" fillId="4" borderId="12" xfId="0" applyFont="1" applyFill="1" applyBorder="1" applyAlignment="1">
      <alignment wrapText="1"/>
    </xf>
    <xf numFmtId="3" fontId="115" fillId="4" borderId="12" xfId="0" applyNumberFormat="1" applyFont="1" applyFill="1" applyBorder="1" applyAlignment="1">
      <alignment horizontal="right"/>
    </xf>
    <xf numFmtId="49" fontId="115" fillId="4" borderId="5" xfId="0" applyNumberFormat="1" applyFont="1" applyFill="1" applyBorder="1" applyAlignment="1">
      <alignment wrapText="1"/>
    </xf>
    <xf numFmtId="0" fontId="113" fillId="4" borderId="5" xfId="0" applyFont="1" applyFill="1" applyBorder="1" applyAlignment="1">
      <alignment wrapText="1"/>
    </xf>
    <xf numFmtId="3" fontId="115" fillId="4" borderId="5" xfId="0" applyNumberFormat="1" applyFont="1" applyFill="1" applyBorder="1" applyAlignment="1">
      <alignment horizontal="right"/>
    </xf>
    <xf numFmtId="0" fontId="113" fillId="7" borderId="12" xfId="0" applyFont="1" applyFill="1" applyBorder="1" applyAlignment="1">
      <alignment horizontal="center" vertical="center"/>
    </xf>
    <xf numFmtId="0" fontId="113" fillId="7" borderId="12" xfId="0" applyFont="1" applyFill="1" applyBorder="1" applyAlignment="1">
      <alignment wrapText="1"/>
    </xf>
    <xf numFmtId="3" fontId="115" fillId="7" borderId="12" xfId="0" applyNumberFormat="1" applyFont="1" applyFill="1" applyBorder="1" applyAlignment="1">
      <alignment horizontal="right"/>
    </xf>
    <xf numFmtId="3" fontId="115" fillId="7" borderId="13" xfId="0" applyNumberFormat="1" applyFont="1" applyFill="1" applyBorder="1" applyAlignment="1">
      <alignment horizontal="right"/>
    </xf>
    <xf numFmtId="3" fontId="115" fillId="7" borderId="77" xfId="0" applyNumberFormat="1" applyFont="1" applyFill="1" applyBorder="1" applyAlignment="1">
      <alignment horizontal="right"/>
    </xf>
    <xf numFmtId="0" fontId="113" fillId="0" borderId="0" xfId="0" applyFont="1" applyAlignment="1">
      <alignment horizontal="center" vertical="center"/>
    </xf>
    <xf numFmtId="0" fontId="113" fillId="0" borderId="0" xfId="0" applyFont="1" applyAlignment="1">
      <alignment wrapText="1"/>
    </xf>
    <xf numFmtId="3" fontId="115" fillId="0" borderId="0" xfId="0" applyNumberFormat="1" applyFont="1" applyAlignment="1">
      <alignment horizontal="right"/>
    </xf>
    <xf numFmtId="3" fontId="115" fillId="0" borderId="1" xfId="0" applyNumberFormat="1" applyFont="1" applyBorder="1" applyAlignment="1">
      <alignment horizontal="right"/>
    </xf>
    <xf numFmtId="3" fontId="115" fillId="0" borderId="7" xfId="0" applyNumberFormat="1" applyFont="1" applyBorder="1" applyAlignment="1">
      <alignment horizontal="right"/>
    </xf>
    <xf numFmtId="3" fontId="113" fillId="0" borderId="0" xfId="5" applyNumberFormat="1" applyFont="1" applyAlignment="1">
      <alignment horizontal="right"/>
    </xf>
    <xf numFmtId="3" fontId="115" fillId="0" borderId="0" xfId="5" applyNumberFormat="1" applyFont="1" applyAlignment="1">
      <alignment horizontal="right" vertical="center"/>
    </xf>
    <xf numFmtId="3" fontId="113" fillId="0" borderId="26" xfId="5" applyNumberFormat="1" applyFont="1" applyBorder="1" applyAlignment="1">
      <alignment horizontal="right"/>
    </xf>
    <xf numFmtId="3" fontId="113" fillId="0" borderId="21" xfId="5" applyNumberFormat="1" applyFont="1" applyBorder="1" applyAlignment="1">
      <alignment horizontal="right"/>
    </xf>
    <xf numFmtId="3" fontId="115" fillId="0" borderId="72" xfId="5" applyNumberFormat="1" applyFont="1" applyBorder="1" applyAlignment="1">
      <alignment horizontal="right" vertical="center"/>
    </xf>
    <xf numFmtId="0" fontId="115" fillId="0" borderId="4" xfId="0" applyFont="1" applyBorder="1" applyAlignment="1">
      <alignment wrapText="1"/>
    </xf>
    <xf numFmtId="49" fontId="113" fillId="0" borderId="11" xfId="0" applyNumberFormat="1" applyFont="1" applyBorder="1" applyAlignment="1">
      <alignment horizontal="center" wrapText="1"/>
    </xf>
    <xf numFmtId="49" fontId="115" fillId="7" borderId="14" xfId="0" applyNumberFormat="1" applyFont="1" applyFill="1" applyBorder="1" applyAlignment="1">
      <alignment horizontal="center" vertical="center"/>
    </xf>
    <xf numFmtId="49" fontId="113" fillId="0" borderId="54" xfId="0" applyNumberFormat="1" applyFont="1" applyBorder="1" applyAlignment="1">
      <alignment horizontal="center" vertical="center"/>
    </xf>
    <xf numFmtId="0" fontId="113" fillId="0" borderId="43" xfId="0" applyFont="1" applyBorder="1" applyAlignment="1">
      <alignment wrapText="1"/>
    </xf>
    <xf numFmtId="3" fontId="113" fillId="0" borderId="55" xfId="5" applyNumberFormat="1" applyFont="1" applyBorder="1" applyAlignment="1">
      <alignment horizontal="right"/>
    </xf>
    <xf numFmtId="3" fontId="115" fillId="0" borderId="71" xfId="5" applyNumberFormat="1" applyFont="1" applyBorder="1" applyAlignment="1">
      <alignment horizontal="right" vertical="center"/>
    </xf>
    <xf numFmtId="0" fontId="115" fillId="4" borderId="12" xfId="0" applyFont="1" applyFill="1" applyBorder="1" applyAlignment="1">
      <alignment wrapText="1"/>
    </xf>
    <xf numFmtId="0" fontId="115" fillId="4" borderId="52" xfId="0" applyFont="1" applyFill="1" applyBorder="1" applyAlignment="1">
      <alignment wrapText="1"/>
    </xf>
    <xf numFmtId="0" fontId="113" fillId="4" borderId="52" xfId="0" applyFont="1" applyFill="1" applyBorder="1" applyAlignment="1">
      <alignment wrapText="1"/>
    </xf>
    <xf numFmtId="3" fontId="115" fillId="4" borderId="52" xfId="0" applyNumberFormat="1" applyFont="1" applyFill="1" applyBorder="1" applyAlignment="1">
      <alignment horizontal="right"/>
    </xf>
    <xf numFmtId="0" fontId="115" fillId="7" borderId="4" xfId="0" applyFont="1" applyFill="1" applyBorder="1" applyAlignment="1">
      <alignment wrapText="1"/>
    </xf>
    <xf numFmtId="3" fontId="115" fillId="7" borderId="4" xfId="0" applyNumberFormat="1" applyFont="1" applyFill="1" applyBorder="1" applyAlignment="1">
      <alignment horizontal="right"/>
    </xf>
    <xf numFmtId="3" fontId="115" fillId="7" borderId="62" xfId="0" applyNumberFormat="1" applyFont="1" applyFill="1" applyBorder="1" applyAlignment="1">
      <alignment horizontal="right"/>
    </xf>
    <xf numFmtId="3" fontId="115" fillId="7" borderId="41" xfId="0" applyNumberFormat="1" applyFont="1" applyFill="1" applyBorder="1" applyAlignment="1">
      <alignment horizontal="right"/>
    </xf>
    <xf numFmtId="3" fontId="115" fillId="0" borderId="4" xfId="0" applyNumberFormat="1" applyFont="1" applyBorder="1" applyAlignment="1">
      <alignment horizontal="right"/>
    </xf>
    <xf numFmtId="3" fontId="115" fillId="0" borderId="62" xfId="0" applyNumberFormat="1" applyFont="1" applyBorder="1" applyAlignment="1">
      <alignment horizontal="right"/>
    </xf>
    <xf numFmtId="3" fontId="115" fillId="4" borderId="56" xfId="0" applyNumberFormat="1" applyFont="1" applyFill="1" applyBorder="1" applyAlignment="1">
      <alignment horizontal="right"/>
    </xf>
    <xf numFmtId="3" fontId="115" fillId="4" borderId="77" xfId="0" applyNumberFormat="1" applyFont="1" applyFill="1" applyBorder="1" applyAlignment="1">
      <alignment horizontal="right"/>
    </xf>
    <xf numFmtId="170" fontId="115" fillId="4" borderId="52" xfId="0" applyNumberFormat="1" applyFont="1" applyFill="1" applyBorder="1" applyAlignment="1">
      <alignment horizontal="right"/>
    </xf>
    <xf numFmtId="170" fontId="115" fillId="4" borderId="64" xfId="0" applyNumberFormat="1" applyFont="1" applyFill="1" applyBorder="1" applyAlignment="1">
      <alignment horizontal="right"/>
    </xf>
    <xf numFmtId="170" fontId="115" fillId="4" borderId="74" xfId="0" applyNumberFormat="1" applyFont="1" applyFill="1" applyBorder="1" applyAlignment="1">
      <alignment horizontal="right"/>
    </xf>
    <xf numFmtId="0" fontId="115" fillId="0" borderId="44" xfId="0" applyFont="1" applyBorder="1" applyAlignment="1">
      <alignment wrapText="1"/>
    </xf>
    <xf numFmtId="170" fontId="115" fillId="0" borderId="4" xfId="0" applyNumberFormat="1" applyFont="1" applyBorder="1" applyAlignment="1">
      <alignment horizontal="right"/>
    </xf>
    <xf numFmtId="170" fontId="115" fillId="0" borderId="0" xfId="0" applyNumberFormat="1" applyFont="1" applyAlignment="1">
      <alignment horizontal="right"/>
    </xf>
    <xf numFmtId="49" fontId="115" fillId="0" borderId="16" xfId="0" applyNumberFormat="1" applyFont="1" applyBorder="1" applyAlignment="1">
      <alignment horizontal="left" wrapText="1"/>
    </xf>
    <xf numFmtId="0" fontId="115" fillId="0" borderId="4" xfId="0" applyFont="1" applyBorder="1"/>
    <xf numFmtId="168" fontId="115" fillId="0" borderId="29" xfId="5" applyNumberFormat="1" applyFont="1" applyBorder="1" applyAlignment="1">
      <alignment horizontal="center" textRotation="90" wrapText="1"/>
    </xf>
    <xf numFmtId="168" fontId="115" fillId="0" borderId="4" xfId="5" applyNumberFormat="1" applyFont="1" applyBorder="1" applyAlignment="1">
      <alignment horizontal="center" textRotation="90" wrapText="1"/>
    </xf>
    <xf numFmtId="49" fontId="115" fillId="0" borderId="8" xfId="0" applyNumberFormat="1" applyFont="1" applyBorder="1" applyAlignment="1">
      <alignment horizontal="left" wrapText="1"/>
    </xf>
    <xf numFmtId="0" fontId="115" fillId="0" borderId="9" xfId="0" applyFont="1" applyBorder="1"/>
    <xf numFmtId="3" fontId="113" fillId="0" borderId="9" xfId="5" applyNumberFormat="1" applyFont="1" applyBorder="1" applyAlignment="1">
      <alignment horizontal="center" wrapText="1"/>
    </xf>
    <xf numFmtId="49" fontId="113" fillId="0" borderId="16" xfId="0" applyNumberFormat="1" applyFont="1" applyBorder="1" applyAlignment="1">
      <alignment horizontal="left" wrapText="1"/>
    </xf>
    <xf numFmtId="0" fontId="113" fillId="0" borderId="4" xfId="0" applyFont="1" applyBorder="1"/>
    <xf numFmtId="49" fontId="113" fillId="0" borderId="11" xfId="0" applyNumberFormat="1" applyFont="1" applyBorder="1" applyAlignment="1">
      <alignment horizontal="left" wrapText="1"/>
    </xf>
    <xf numFmtId="0" fontId="113" fillId="0" borderId="12" xfId="0" applyFont="1" applyBorder="1"/>
    <xf numFmtId="3" fontId="113" fillId="0" borderId="12" xfId="5" applyNumberFormat="1" applyFont="1" applyBorder="1" applyAlignment="1">
      <alignment horizontal="center" wrapText="1"/>
    </xf>
    <xf numFmtId="49" fontId="115" fillId="0" borderId="14" xfId="0" applyNumberFormat="1" applyFont="1" applyBorder="1" applyAlignment="1">
      <alignment horizontal="left" wrapText="1"/>
    </xf>
    <xf numFmtId="49" fontId="113" fillId="0" borderId="17" xfId="0" applyNumberFormat="1" applyFont="1" applyBorder="1" applyAlignment="1">
      <alignment horizontal="left" wrapText="1"/>
    </xf>
    <xf numFmtId="0" fontId="113" fillId="0" borderId="52" xfId="0" applyFont="1" applyBorder="1"/>
    <xf numFmtId="3" fontId="113" fillId="0" borderId="52" xfId="5" applyNumberFormat="1" applyFont="1" applyBorder="1" applyAlignment="1">
      <alignment horizontal="center" wrapText="1"/>
    </xf>
    <xf numFmtId="49" fontId="113" fillId="0" borderId="14" xfId="0" applyNumberFormat="1" applyFont="1" applyBorder="1" applyAlignment="1">
      <alignment horizontal="left" wrapText="1"/>
    </xf>
    <xf numFmtId="0" fontId="113" fillId="0" borderId="5" xfId="0" applyFont="1" applyBorder="1"/>
    <xf numFmtId="49" fontId="113" fillId="7" borderId="11" xfId="0" applyNumberFormat="1" applyFont="1" applyFill="1" applyBorder="1" applyAlignment="1">
      <alignment horizontal="left" wrapText="1"/>
    </xf>
    <xf numFmtId="0" fontId="113" fillId="7" borderId="12" xfId="0" applyFont="1" applyFill="1" applyBorder="1"/>
    <xf numFmtId="3" fontId="113" fillId="7" borderId="12" xfId="5" applyNumberFormat="1" applyFont="1" applyFill="1" applyBorder="1" applyAlignment="1">
      <alignment horizontal="center" wrapText="1"/>
    </xf>
    <xf numFmtId="3" fontId="113" fillId="0" borderId="52" xfId="0" applyNumberFormat="1" applyFont="1" applyBorder="1" applyAlignment="1">
      <alignment horizontal="right"/>
    </xf>
    <xf numFmtId="3" fontId="113" fillId="0" borderId="5" xfId="5" quotePrefix="1" applyNumberFormat="1" applyFont="1" applyBorder="1" applyAlignment="1">
      <alignment horizontal="right"/>
    </xf>
    <xf numFmtId="3" fontId="113" fillId="0" borderId="4" xfId="5" quotePrefix="1" applyNumberFormat="1" applyFont="1" applyBorder="1" applyAlignment="1">
      <alignment horizontal="right"/>
    </xf>
    <xf numFmtId="49" fontId="113" fillId="0" borderId="11" xfId="0" applyNumberFormat="1" applyFont="1" applyBorder="1" applyAlignment="1">
      <alignment horizontal="center"/>
    </xf>
    <xf numFmtId="3" fontId="113" fillId="0" borderId="12" xfId="5" quotePrefix="1" applyNumberFormat="1" applyFont="1" applyBorder="1" applyAlignment="1">
      <alignment horizontal="right"/>
    </xf>
    <xf numFmtId="3" fontId="113" fillId="0" borderId="12" xfId="0" applyNumberFormat="1" applyFont="1" applyBorder="1" applyAlignment="1">
      <alignment horizontal="right"/>
    </xf>
    <xf numFmtId="0" fontId="115" fillId="0" borderId="0" xfId="0" applyFont="1" applyBorder="1" applyAlignment="1">
      <alignment wrapText="1"/>
    </xf>
    <xf numFmtId="0" fontId="115" fillId="0" borderId="34" xfId="0" applyFont="1" applyBorder="1"/>
    <xf numFmtId="168" fontId="115" fillId="0" borderId="0" xfId="5" applyNumberFormat="1" applyFont="1" applyBorder="1" applyAlignment="1">
      <alignment horizontal="center" wrapText="1"/>
    </xf>
    <xf numFmtId="168" fontId="115" fillId="0" borderId="0" xfId="5" applyNumberFormat="1" applyFont="1" applyBorder="1" applyAlignment="1">
      <alignment horizontal="center"/>
    </xf>
    <xf numFmtId="0" fontId="115" fillId="0" borderId="0" xfId="0" applyFont="1" applyAlignment="1">
      <alignment horizontal="center"/>
    </xf>
    <xf numFmtId="168" fontId="113" fillId="0" borderId="0" xfId="0" applyNumberFormat="1" applyFont="1"/>
    <xf numFmtId="170" fontId="113" fillId="0" borderId="0" xfId="0" applyNumberFormat="1" applyFont="1"/>
    <xf numFmtId="170" fontId="113" fillId="7" borderId="0" xfId="5" applyNumberFormat="1" applyFont="1" applyFill="1" applyAlignment="1">
      <alignment horizontal="right"/>
    </xf>
    <xf numFmtId="170" fontId="115" fillId="7" borderId="0" xfId="5" applyNumberFormat="1" applyFont="1" applyFill="1" applyAlignment="1">
      <alignment horizontal="right" vertical="center"/>
    </xf>
    <xf numFmtId="0" fontId="115" fillId="7" borderId="0" xfId="0" applyFont="1" applyFill="1" applyAlignment="1">
      <alignment horizontal="center"/>
    </xf>
    <xf numFmtId="170" fontId="113" fillId="0" borderId="0" xfId="5" applyNumberFormat="1" applyFont="1" applyAlignment="1">
      <alignment horizontal="right"/>
    </xf>
    <xf numFmtId="170" fontId="115" fillId="0" borderId="0" xfId="5" applyNumberFormat="1" applyFont="1" applyAlignment="1">
      <alignment horizontal="right" vertical="center"/>
    </xf>
    <xf numFmtId="170" fontId="115" fillId="7" borderId="0" xfId="0" applyNumberFormat="1" applyFont="1" applyFill="1" applyAlignment="1">
      <alignment horizontal="right"/>
    </xf>
    <xf numFmtId="168" fontId="115" fillId="0" borderId="23" xfId="5" applyNumberFormat="1" applyFont="1" applyBorder="1" applyAlignment="1">
      <alignment horizontal="center"/>
    </xf>
    <xf numFmtId="3" fontId="113" fillId="0" borderId="10" xfId="5" applyNumberFormat="1" applyFont="1" applyBorder="1" applyAlignment="1">
      <alignment horizontal="center" wrapText="1"/>
    </xf>
    <xf numFmtId="3" fontId="113" fillId="4" borderId="76" xfId="5" applyNumberFormat="1" applyFont="1" applyFill="1" applyBorder="1" applyAlignment="1">
      <alignment horizontal="right"/>
    </xf>
    <xf numFmtId="3" fontId="113" fillId="0" borderId="23" xfId="5" applyNumberFormat="1" applyFont="1" applyBorder="1" applyAlignment="1">
      <alignment horizontal="center" wrapText="1"/>
    </xf>
    <xf numFmtId="3" fontId="113" fillId="4" borderId="25" xfId="5" applyNumberFormat="1" applyFont="1" applyFill="1" applyBorder="1" applyAlignment="1">
      <alignment horizontal="right"/>
    </xf>
    <xf numFmtId="3" fontId="113" fillId="0" borderId="13" xfId="5" applyNumberFormat="1" applyFont="1" applyBorder="1" applyAlignment="1">
      <alignment horizontal="center" wrapText="1"/>
    </xf>
    <xf numFmtId="3" fontId="113" fillId="4" borderId="39" xfId="5" applyNumberFormat="1" applyFont="1" applyFill="1" applyBorder="1" applyAlignment="1">
      <alignment horizontal="right"/>
    </xf>
    <xf numFmtId="3" fontId="113" fillId="4" borderId="41" xfId="5" applyNumberFormat="1" applyFont="1" applyFill="1" applyBorder="1" applyAlignment="1">
      <alignment horizontal="right"/>
    </xf>
    <xf numFmtId="3" fontId="113" fillId="0" borderId="40" xfId="5" applyNumberFormat="1" applyFont="1" applyBorder="1" applyAlignment="1">
      <alignment horizontal="center" wrapText="1"/>
    </xf>
    <xf numFmtId="3" fontId="113" fillId="4" borderId="45" xfId="5" applyNumberFormat="1" applyFont="1" applyFill="1" applyBorder="1" applyAlignment="1">
      <alignment horizontal="right"/>
    </xf>
    <xf numFmtId="3" fontId="113" fillId="4" borderId="42" xfId="5" applyNumberFormat="1" applyFont="1" applyFill="1" applyBorder="1" applyAlignment="1">
      <alignment horizontal="right"/>
    </xf>
    <xf numFmtId="3" fontId="113" fillId="4" borderId="10" xfId="5" applyNumberFormat="1" applyFont="1" applyFill="1" applyBorder="1" applyAlignment="1">
      <alignment horizontal="right"/>
    </xf>
    <xf numFmtId="3" fontId="113" fillId="4" borderId="23" xfId="5" applyNumberFormat="1" applyFont="1" applyFill="1" applyBorder="1" applyAlignment="1">
      <alignment horizontal="right"/>
    </xf>
    <xf numFmtId="3" fontId="113" fillId="7" borderId="13" xfId="5" applyNumberFormat="1" applyFont="1" applyFill="1" applyBorder="1" applyAlignment="1">
      <alignment horizontal="center" wrapText="1"/>
    </xf>
    <xf numFmtId="3" fontId="113" fillId="0" borderId="40" xfId="0" applyNumberFormat="1" applyFont="1" applyBorder="1" applyAlignment="1">
      <alignment horizontal="right"/>
    </xf>
    <xf numFmtId="3" fontId="113" fillId="0" borderId="13" xfId="0" applyNumberFormat="1" applyFont="1" applyBorder="1" applyAlignment="1">
      <alignment horizontal="right"/>
    </xf>
    <xf numFmtId="3" fontId="113" fillId="7" borderId="5" xfId="0" applyNumberFormat="1" applyFont="1" applyFill="1" applyBorder="1" applyAlignment="1">
      <alignment horizontal="right"/>
    </xf>
    <xf numFmtId="3" fontId="113" fillId="7" borderId="15" xfId="0" applyNumberFormat="1" applyFont="1" applyFill="1" applyBorder="1" applyAlignment="1">
      <alignment horizontal="right"/>
    </xf>
    <xf numFmtId="3" fontId="113" fillId="5" borderId="37" xfId="5" applyNumberFormat="1" applyFont="1" applyFill="1" applyBorder="1" applyAlignment="1">
      <alignment horizontal="right"/>
    </xf>
    <xf numFmtId="0" fontId="113" fillId="7" borderId="4" xfId="0" applyFont="1" applyFill="1" applyBorder="1"/>
    <xf numFmtId="3" fontId="113" fillId="7" borderId="4" xfId="0" applyNumberFormat="1" applyFont="1" applyFill="1" applyBorder="1" applyAlignment="1">
      <alignment horizontal="right"/>
    </xf>
    <xf numFmtId="3" fontId="113" fillId="7" borderId="23" xfId="0" applyNumberFormat="1" applyFont="1" applyFill="1" applyBorder="1" applyAlignment="1">
      <alignment horizontal="right"/>
    </xf>
    <xf numFmtId="3" fontId="113" fillId="5" borderId="25" xfId="5" applyNumberFormat="1" applyFont="1" applyFill="1" applyBorder="1" applyAlignment="1">
      <alignment horizontal="right"/>
    </xf>
    <xf numFmtId="49" fontId="113" fillId="0" borderId="54" xfId="0" applyNumberFormat="1" applyFont="1" applyBorder="1" applyAlignment="1">
      <alignment horizontal="center"/>
    </xf>
    <xf numFmtId="0" fontId="113" fillId="0" borderId="43" xfId="0" applyFont="1" applyBorder="1"/>
    <xf numFmtId="3" fontId="113" fillId="4" borderId="51" xfId="5" applyNumberFormat="1" applyFont="1" applyFill="1" applyBorder="1" applyAlignment="1">
      <alignment horizontal="right"/>
    </xf>
    <xf numFmtId="3" fontId="115" fillId="0" borderId="26" xfId="0" applyNumberFormat="1" applyFont="1" applyBorder="1" applyAlignment="1">
      <alignment horizontal="right"/>
    </xf>
    <xf numFmtId="3" fontId="115" fillId="0" borderId="21" xfId="0" applyNumberFormat="1" applyFont="1" applyBorder="1" applyAlignment="1">
      <alignment horizontal="right"/>
    </xf>
    <xf numFmtId="3" fontId="113" fillId="0" borderId="72" xfId="5" applyNumberFormat="1" applyFont="1" applyBorder="1" applyAlignment="1">
      <alignment horizontal="right"/>
    </xf>
    <xf numFmtId="169" fontId="113" fillId="0" borderId="0" xfId="0" applyNumberFormat="1" applyFont="1"/>
    <xf numFmtId="49" fontId="115" fillId="4" borderId="31" xfId="0" applyNumberFormat="1" applyFont="1" applyFill="1" applyBorder="1"/>
    <xf numFmtId="0" fontId="113" fillId="4" borderId="26" xfId="0" applyFont="1" applyFill="1" applyBorder="1"/>
    <xf numFmtId="3" fontId="115" fillId="4" borderId="26" xfId="0" applyNumberFormat="1" applyFont="1" applyFill="1" applyBorder="1" applyAlignment="1">
      <alignment horizontal="right"/>
    </xf>
    <xf numFmtId="49" fontId="115" fillId="4" borderId="48" xfId="0" applyNumberFormat="1" applyFont="1" applyFill="1" applyBorder="1"/>
    <xf numFmtId="0" fontId="113" fillId="4" borderId="52" xfId="0" applyFont="1" applyFill="1" applyBorder="1"/>
    <xf numFmtId="0" fontId="113" fillId="0" borderId="19" xfId="0" applyFont="1" applyBorder="1" applyAlignment="1">
      <alignment horizontal="center"/>
    </xf>
    <xf numFmtId="0" fontId="113" fillId="0" borderId="6" xfId="0" applyFont="1" applyBorder="1" applyAlignment="1">
      <alignment wrapText="1"/>
    </xf>
    <xf numFmtId="3" fontId="113" fillId="0" borderId="6" xfId="5" applyNumberFormat="1" applyFont="1" applyBorder="1" applyAlignment="1">
      <alignment horizontal="right"/>
    </xf>
    <xf numFmtId="3" fontId="113" fillId="0" borderId="6" xfId="0" applyNumberFormat="1" applyFont="1" applyBorder="1" applyAlignment="1">
      <alignment horizontal="right"/>
    </xf>
    <xf numFmtId="3" fontId="113" fillId="0" borderId="7" xfId="0" applyNumberFormat="1" applyFont="1" applyBorder="1" applyAlignment="1">
      <alignment horizontal="right"/>
    </xf>
    <xf numFmtId="3" fontId="115" fillId="4" borderId="73" xfId="5" applyNumberFormat="1" applyFont="1" applyFill="1" applyBorder="1" applyAlignment="1">
      <alignment horizontal="right"/>
    </xf>
    <xf numFmtId="3" fontId="113" fillId="0" borderId="26" xfId="0" applyNumberFormat="1" applyFont="1" applyBorder="1" applyAlignment="1">
      <alignment horizontal="right"/>
    </xf>
    <xf numFmtId="3" fontId="113" fillId="0" borderId="21" xfId="0" applyNumberFormat="1" applyFont="1" applyBorder="1" applyAlignment="1">
      <alignment horizontal="right"/>
    </xf>
    <xf numFmtId="3" fontId="113" fillId="4" borderId="72" xfId="5" applyNumberFormat="1" applyFont="1" applyFill="1" applyBorder="1" applyAlignment="1">
      <alignment horizontal="right"/>
    </xf>
    <xf numFmtId="3" fontId="113" fillId="0" borderId="76" xfId="5" applyNumberFormat="1" applyFont="1" applyBorder="1" applyAlignment="1">
      <alignment horizontal="right"/>
    </xf>
    <xf numFmtId="0" fontId="115" fillId="4" borderId="12" xfId="0" applyFont="1" applyFill="1" applyBorder="1"/>
    <xf numFmtId="3" fontId="115" fillId="4" borderId="12" xfId="0" applyNumberFormat="1" applyFont="1" applyFill="1" applyBorder="1"/>
    <xf numFmtId="169" fontId="115" fillId="0" borderId="0" xfId="0" applyNumberFormat="1" applyFont="1"/>
    <xf numFmtId="0" fontId="115" fillId="0" borderId="0" xfId="0" applyFont="1"/>
    <xf numFmtId="0" fontId="115" fillId="4" borderId="52" xfId="0" applyFont="1" applyFill="1" applyBorder="1"/>
    <xf numFmtId="3" fontId="115" fillId="4" borderId="52" xfId="0" applyNumberFormat="1" applyFont="1" applyFill="1" applyBorder="1"/>
    <xf numFmtId="0" fontId="115" fillId="7" borderId="12" xfId="0" applyFont="1" applyFill="1" applyBorder="1"/>
    <xf numFmtId="3" fontId="115" fillId="7" borderId="12" xfId="0" applyNumberFormat="1" applyFont="1" applyFill="1" applyBorder="1"/>
    <xf numFmtId="3" fontId="115" fillId="7" borderId="56" xfId="0" applyNumberFormat="1" applyFont="1" applyFill="1" applyBorder="1"/>
    <xf numFmtId="3" fontId="115" fillId="7" borderId="77" xfId="0" applyNumberFormat="1" applyFont="1" applyFill="1" applyBorder="1"/>
    <xf numFmtId="169" fontId="115" fillId="7" borderId="0" xfId="0" applyNumberFormat="1" applyFont="1" applyFill="1"/>
    <xf numFmtId="0" fontId="115" fillId="7" borderId="0" xfId="0" applyFont="1" applyFill="1"/>
    <xf numFmtId="0" fontId="115" fillId="4" borderId="5" xfId="0" applyFont="1" applyFill="1" applyBorder="1"/>
    <xf numFmtId="169" fontId="2" fillId="0" borderId="0" xfId="0" applyNumberFormat="1" applyFont="1"/>
    <xf numFmtId="0" fontId="0" fillId="0" borderId="0" xfId="0" applyFont="1"/>
    <xf numFmtId="0" fontId="113" fillId="7" borderId="52" xfId="0" applyFont="1" applyFill="1" applyBorder="1"/>
    <xf numFmtId="3" fontId="113" fillId="5" borderId="45" xfId="5" applyNumberFormat="1" applyFont="1" applyFill="1" applyBorder="1" applyAlignment="1">
      <alignment horizontal="right"/>
    </xf>
    <xf numFmtId="171" fontId="103" fillId="3" borderId="5" xfId="1" applyNumberFormat="1" applyFont="1" applyFill="1" applyBorder="1" applyAlignment="1">
      <alignment horizontal="right"/>
    </xf>
    <xf numFmtId="171" fontId="103" fillId="3" borderId="26" xfId="1" applyNumberFormat="1" applyFont="1" applyFill="1" applyBorder="1" applyAlignment="1">
      <alignment horizontal="right"/>
    </xf>
    <xf numFmtId="171" fontId="103" fillId="3" borderId="22" xfId="1" applyNumberFormat="1" applyFont="1" applyFill="1" applyBorder="1" applyAlignment="1">
      <alignment horizontal="right"/>
    </xf>
    <xf numFmtId="49" fontId="95" fillId="0" borderId="11" xfId="0" applyNumberFormat="1" applyFont="1" applyBorder="1" applyAlignment="1">
      <alignment horizontal="center"/>
    </xf>
    <xf numFmtId="0" fontId="95" fillId="0" borderId="12" xfId="0" applyFont="1" applyBorder="1" applyAlignment="1">
      <alignment horizontal="left"/>
    </xf>
    <xf numFmtId="3" fontId="95" fillId="0" borderId="12" xfId="5" applyNumberFormat="1" applyFont="1" applyBorder="1" applyAlignment="1">
      <alignment horizontal="right"/>
    </xf>
    <xf numFmtId="3" fontId="94" fillId="3" borderId="13" xfId="5" applyNumberFormat="1" applyFont="1" applyFill="1" applyBorder="1" applyAlignment="1">
      <alignment horizontal="right"/>
    </xf>
    <xf numFmtId="49" fontId="95" fillId="0" borderId="52" xfId="0" applyNumberFormat="1" applyFont="1" applyBorder="1" applyAlignment="1">
      <alignment horizontal="center"/>
    </xf>
    <xf numFmtId="0" fontId="95" fillId="0" borderId="52" xfId="0" applyFont="1" applyBorder="1" applyAlignment="1">
      <alignment horizontal="left"/>
    </xf>
    <xf numFmtId="3" fontId="96" fillId="0" borderId="52" xfId="0" applyNumberFormat="1" applyFont="1" applyBorder="1" applyAlignment="1">
      <alignment horizontal="right"/>
    </xf>
    <xf numFmtId="3" fontId="103" fillId="0" borderId="40" xfId="0" applyNumberFormat="1" applyFont="1" applyBorder="1" applyAlignment="1">
      <alignment horizontal="right"/>
    </xf>
    <xf numFmtId="3" fontId="94" fillId="0" borderId="13" xfId="5" applyNumberFormat="1" applyFont="1" applyBorder="1" applyAlignment="1">
      <alignment horizontal="right"/>
    </xf>
    <xf numFmtId="3" fontId="95" fillId="0" borderId="56" xfId="5" applyNumberFormat="1" applyFont="1" applyBorder="1" applyAlignment="1">
      <alignment horizontal="right"/>
    </xf>
    <xf numFmtId="0" fontId="95" fillId="0" borderId="65" xfId="0" applyFont="1" applyBorder="1" applyAlignment="1">
      <alignment wrapText="1"/>
    </xf>
    <xf numFmtId="49" fontId="95" fillId="0" borderId="11" xfId="0" applyNumberFormat="1" applyFont="1" applyBorder="1" applyAlignment="1">
      <alignment horizontal="center" vertical="center" wrapText="1"/>
    </xf>
    <xf numFmtId="3" fontId="95" fillId="0" borderId="12" xfId="5" applyNumberFormat="1" applyFont="1" applyBorder="1" applyAlignment="1">
      <alignment horizontal="left" vertical="center" wrapText="1"/>
    </xf>
    <xf numFmtId="3" fontId="95" fillId="3" borderId="13" xfId="5" applyNumberFormat="1" applyFont="1" applyFill="1" applyBorder="1" applyAlignment="1">
      <alignment horizontal="right" vertical="center"/>
    </xf>
    <xf numFmtId="3" fontId="94" fillId="0" borderId="12" xfId="5" applyNumberFormat="1" applyFont="1" applyBorder="1" applyAlignment="1">
      <alignment horizontal="right" vertical="center" wrapText="1"/>
    </xf>
    <xf numFmtId="0" fontId="95" fillId="0" borderId="65" xfId="0" applyFont="1" applyBorder="1" applyAlignment="1">
      <alignment horizontal="left" vertical="center"/>
    </xf>
    <xf numFmtId="0" fontId="95" fillId="0" borderId="66" xfId="0" applyFont="1" applyBorder="1" applyAlignment="1">
      <alignment horizontal="left" vertical="center"/>
    </xf>
    <xf numFmtId="3" fontId="95" fillId="0" borderId="52" xfId="5" applyNumberFormat="1" applyFont="1" applyBorder="1" applyAlignment="1">
      <alignment horizontal="right" vertical="center" wrapText="1"/>
    </xf>
    <xf numFmtId="3" fontId="95" fillId="3" borderId="40" xfId="5" applyNumberFormat="1" applyFont="1" applyFill="1" applyBorder="1" applyAlignment="1">
      <alignment horizontal="right" vertical="center"/>
    </xf>
    <xf numFmtId="49" fontId="95" fillId="0" borderId="12" xfId="0" applyNumberFormat="1" applyFont="1" applyBorder="1" applyAlignment="1">
      <alignment horizontal="center" vertical="center"/>
    </xf>
    <xf numFmtId="0" fontId="0" fillId="0" borderId="20" xfId="0" applyBorder="1"/>
    <xf numFmtId="0" fontId="0" fillId="3" borderId="32" xfId="0" applyFill="1" applyBorder="1"/>
    <xf numFmtId="0" fontId="0" fillId="0" borderId="32" xfId="0" applyBorder="1"/>
    <xf numFmtId="0" fontId="7" fillId="0" borderId="30" xfId="0" applyFont="1" applyBorder="1"/>
    <xf numFmtId="0" fontId="0" fillId="3" borderId="51" xfId="0" applyFill="1" applyBorder="1"/>
    <xf numFmtId="170" fontId="0" fillId="0" borderId="0" xfId="0" applyNumberFormat="1" applyBorder="1"/>
    <xf numFmtId="170" fontId="8" fillId="0" borderId="0" xfId="0" applyNumberFormat="1" applyFont="1" applyBorder="1"/>
    <xf numFmtId="164" fontId="60" fillId="0" borderId="0" xfId="0" applyNumberFormat="1" applyFont="1" applyBorder="1"/>
    <xf numFmtId="164" fontId="56" fillId="0" borderId="20" xfId="0" applyNumberFormat="1" applyFont="1" applyBorder="1"/>
    <xf numFmtId="0" fontId="54" fillId="0" borderId="20" xfId="0" applyFont="1" applyBorder="1"/>
    <xf numFmtId="164" fontId="57" fillId="0" borderId="20" xfId="0" applyNumberFormat="1" applyFont="1" applyBorder="1"/>
    <xf numFmtId="0" fontId="16" fillId="0" borderId="20" xfId="0" applyFont="1" applyBorder="1"/>
    <xf numFmtId="164" fontId="57" fillId="0" borderId="20" xfId="0" applyNumberFormat="1" applyFont="1" applyBorder="1" applyAlignment="1">
      <alignment horizontal="center"/>
    </xf>
    <xf numFmtId="170" fontId="68" fillId="0" borderId="45" xfId="0" applyNumberFormat="1" applyFont="1" applyBorder="1" applyAlignment="1">
      <alignment horizontal="center" wrapText="1"/>
    </xf>
    <xf numFmtId="170" fontId="59" fillId="0" borderId="70" xfId="0" applyNumberFormat="1" applyFont="1" applyBorder="1"/>
    <xf numFmtId="170" fontId="55" fillId="0" borderId="53" xfId="0" applyNumberFormat="1" applyFont="1" applyBorder="1"/>
    <xf numFmtId="170" fontId="78" fillId="0" borderId="53" xfId="0" applyNumberFormat="1" applyFont="1" applyBorder="1" applyAlignment="1">
      <alignment horizontal="left"/>
    </xf>
    <xf numFmtId="170" fontId="78" fillId="0" borderId="70" xfId="0" applyNumberFormat="1" applyFont="1" applyBorder="1" applyAlignment="1">
      <alignment horizontal="left"/>
    </xf>
    <xf numFmtId="170" fontId="73" fillId="0" borderId="22" xfId="0" applyNumberFormat="1" applyFont="1" applyBorder="1"/>
    <xf numFmtId="170" fontId="73" fillId="0" borderId="70" xfId="0" applyNumberFormat="1" applyFont="1" applyBorder="1"/>
    <xf numFmtId="170" fontId="54" fillId="0" borderId="53" xfId="0" applyNumberFormat="1" applyFont="1" applyBorder="1"/>
    <xf numFmtId="170" fontId="56" fillId="0" borderId="22" xfId="0" applyNumberFormat="1" applyFont="1" applyBorder="1"/>
    <xf numFmtId="0" fontId="16" fillId="0" borderId="40" xfId="0" applyFont="1" applyBorder="1"/>
    <xf numFmtId="170" fontId="52" fillId="7" borderId="45" xfId="0" applyNumberFormat="1" applyFont="1" applyFill="1" applyBorder="1" applyAlignment="1">
      <alignment horizontal="left"/>
    </xf>
    <xf numFmtId="0" fontId="48" fillId="0" borderId="0" xfId="0" applyFont="1" applyBorder="1"/>
    <xf numFmtId="0" fontId="50" fillId="0" borderId="0" xfId="0" applyFont="1" applyBorder="1"/>
    <xf numFmtId="169" fontId="50" fillId="0" borderId="0" xfId="0" applyNumberFormat="1" applyFont="1" applyBorder="1"/>
    <xf numFmtId="170" fontId="52" fillId="0" borderId="0" xfId="0" applyNumberFormat="1" applyFont="1" applyBorder="1" applyAlignment="1">
      <alignment horizontal="center"/>
    </xf>
    <xf numFmtId="171" fontId="53" fillId="0" borderId="0" xfId="1" applyNumberFormat="1" applyFont="1" applyBorder="1" applyAlignment="1">
      <alignment horizontal="right"/>
    </xf>
    <xf numFmtId="3" fontId="70" fillId="0" borderId="35" xfId="0" applyNumberFormat="1" applyFont="1" applyBorder="1" applyAlignment="1">
      <alignment horizontal="right"/>
    </xf>
    <xf numFmtId="3" fontId="70" fillId="0" borderId="0" xfId="0" applyNumberFormat="1" applyFont="1" applyBorder="1" applyAlignment="1">
      <alignment horizontal="right"/>
    </xf>
    <xf numFmtId="3" fontId="70" fillId="0" borderId="20" xfId="0" applyNumberFormat="1" applyFont="1" applyBorder="1" applyAlignment="1">
      <alignment horizontal="right"/>
    </xf>
    <xf numFmtId="3" fontId="70" fillId="0" borderId="0" xfId="0" applyNumberFormat="1" applyFont="1" applyBorder="1" applyAlignment="1">
      <alignment horizontal="right" wrapText="1"/>
    </xf>
    <xf numFmtId="3" fontId="70" fillId="0" borderId="20" xfId="0" applyNumberFormat="1" applyFont="1" applyBorder="1" applyAlignment="1">
      <alignment horizontal="right" wrapText="1"/>
    </xf>
    <xf numFmtId="171" fontId="53" fillId="0" borderId="0" xfId="1" applyNumberFormat="1" applyFont="1" applyFill="1" applyBorder="1" applyAlignment="1">
      <alignment horizontal="right"/>
    </xf>
    <xf numFmtId="0" fontId="70" fillId="0" borderId="0" xfId="0" applyFont="1" applyBorder="1"/>
    <xf numFmtId="171" fontId="70" fillId="0" borderId="0" xfId="1" applyNumberFormat="1" applyFont="1" applyBorder="1" applyAlignment="1">
      <alignment horizontal="right"/>
    </xf>
    <xf numFmtId="3" fontId="70" fillId="0" borderId="0" xfId="0" applyNumberFormat="1" applyFont="1" applyBorder="1" applyAlignment="1">
      <alignment horizontal="left"/>
    </xf>
    <xf numFmtId="3" fontId="70" fillId="0" borderId="20" xfId="0" applyNumberFormat="1" applyFont="1" applyBorder="1" applyAlignment="1">
      <alignment horizontal="left"/>
    </xf>
    <xf numFmtId="3" fontId="70" fillId="0" borderId="0" xfId="0" applyNumberFormat="1" applyFont="1" applyBorder="1" applyAlignment="1">
      <alignment horizontal="left" wrapText="1"/>
    </xf>
    <xf numFmtId="3" fontId="70" fillId="0" borderId="20" xfId="0" applyNumberFormat="1" applyFont="1" applyBorder="1" applyAlignment="1">
      <alignment horizontal="left" wrapText="1"/>
    </xf>
    <xf numFmtId="3" fontId="70" fillId="0" borderId="0" xfId="0" applyNumberFormat="1" applyFont="1" applyBorder="1"/>
    <xf numFmtId="0" fontId="70" fillId="0" borderId="20" xfId="0" applyFont="1" applyBorder="1"/>
    <xf numFmtId="3" fontId="53" fillId="0" borderId="0" xfId="0" applyNumberFormat="1" applyFont="1" applyBorder="1"/>
    <xf numFmtId="0" fontId="70" fillId="0" borderId="44" xfId="0" applyFont="1" applyBorder="1"/>
    <xf numFmtId="0" fontId="16" fillId="2" borderId="20" xfId="0" applyFont="1" applyFill="1" applyBorder="1"/>
    <xf numFmtId="171" fontId="9" fillId="0" borderId="23" xfId="1" applyNumberFormat="1" applyFont="1" applyBorder="1"/>
    <xf numFmtId="1" fontId="4" fillId="0" borderId="20" xfId="0" applyNumberFormat="1" applyFont="1" applyBorder="1"/>
    <xf numFmtId="3" fontId="4" fillId="0" borderId="10" xfId="0" applyNumberFormat="1" applyFont="1" applyBorder="1"/>
    <xf numFmtId="3" fontId="4" fillId="0" borderId="23" xfId="0" applyNumberFormat="1" applyFont="1" applyBorder="1"/>
    <xf numFmtId="3" fontId="4" fillId="0" borderId="55" xfId="0" applyNumberFormat="1" applyFont="1" applyBorder="1"/>
    <xf numFmtId="3" fontId="4" fillId="0" borderId="55" xfId="0" applyNumberFormat="1" applyFont="1" applyFill="1" applyBorder="1"/>
    <xf numFmtId="3" fontId="4" fillId="0" borderId="53" xfId="0" applyNumberFormat="1" applyFont="1" applyBorder="1"/>
    <xf numFmtId="3" fontId="12" fillId="0" borderId="55" xfId="0" applyNumberFormat="1" applyFont="1" applyFill="1" applyBorder="1"/>
    <xf numFmtId="0" fontId="4" fillId="0" borderId="16" xfId="0" applyFont="1" applyFill="1" applyBorder="1" applyAlignment="1">
      <alignment horizontal="right"/>
    </xf>
    <xf numFmtId="3" fontId="12" fillId="0" borderId="23" xfId="0" applyNumberFormat="1" applyFont="1" applyFill="1" applyBorder="1" applyAlignment="1">
      <alignment horizontal="left"/>
    </xf>
    <xf numFmtId="0" fontId="4" fillId="0" borderId="11" xfId="0" applyFont="1" applyFill="1" applyBorder="1" applyAlignment="1">
      <alignment horizontal="right"/>
    </xf>
    <xf numFmtId="3" fontId="12" fillId="0" borderId="13" xfId="0" applyNumberFormat="1" applyFont="1" applyFill="1" applyBorder="1" applyAlignment="1">
      <alignment horizontal="left"/>
    </xf>
    <xf numFmtId="3" fontId="12" fillId="0" borderId="70" xfId="0" applyNumberFormat="1" applyFont="1" applyBorder="1" applyAlignment="1">
      <alignment horizontal="left"/>
    </xf>
    <xf numFmtId="3" fontId="5" fillId="0" borderId="22" xfId="0" applyNumberFormat="1" applyFont="1" applyBorder="1"/>
    <xf numFmtId="3" fontId="12" fillId="0" borderId="40" xfId="0" applyNumberFormat="1" applyFont="1" applyBorder="1"/>
    <xf numFmtId="0" fontId="1" fillId="0" borderId="20" xfId="0" applyFont="1" applyBorder="1" applyAlignment="1">
      <alignment horizontal="center" wrapText="1"/>
    </xf>
    <xf numFmtId="0" fontId="7" fillId="0" borderId="4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" fontId="0" fillId="0" borderId="0" xfId="0" applyNumberFormat="1" applyBorder="1"/>
    <xf numFmtId="1" fontId="14" fillId="0" borderId="25" xfId="0" applyNumberFormat="1" applyFont="1" applyBorder="1"/>
    <xf numFmtId="1" fontId="7" fillId="0" borderId="0" xfId="0" applyNumberFormat="1" applyFont="1" applyBorder="1"/>
    <xf numFmtId="1" fontId="38" fillId="0" borderId="20" xfId="0" applyNumberFormat="1" applyFont="1" applyBorder="1"/>
    <xf numFmtId="0" fontId="0" fillId="0" borderId="72" xfId="0" applyBorder="1"/>
    <xf numFmtId="170" fontId="44" fillId="0" borderId="20" xfId="0" applyNumberFormat="1" applyFont="1" applyBorder="1" applyAlignment="1">
      <alignment horizontal="left"/>
    </xf>
    <xf numFmtId="1" fontId="14" fillId="0" borderId="51" xfId="0" applyNumberFormat="1" applyFont="1" applyBorder="1"/>
    <xf numFmtId="1" fontId="14" fillId="0" borderId="37" xfId="0" applyNumberFormat="1" applyFont="1" applyBorder="1"/>
    <xf numFmtId="1" fontId="7" fillId="0" borderId="25" xfId="0" applyNumberFormat="1" applyFont="1" applyBorder="1"/>
    <xf numFmtId="1" fontId="7" fillId="0" borderId="51" xfId="0" applyNumberFormat="1" applyFont="1" applyBorder="1"/>
    <xf numFmtId="1" fontId="0" fillId="0" borderId="45" xfId="0" applyNumberFormat="1" applyBorder="1"/>
    <xf numFmtId="0" fontId="0" fillId="0" borderId="45" xfId="0" applyBorder="1"/>
    <xf numFmtId="0" fontId="0" fillId="0" borderId="45" xfId="0" applyBorder="1" applyAlignment="1">
      <alignment horizontal="center"/>
    </xf>
    <xf numFmtId="1" fontId="0" fillId="0" borderId="35" xfId="0" applyNumberFormat="1" applyBorder="1"/>
    <xf numFmtId="1" fontId="7" fillId="0" borderId="25" xfId="0" quotePrefix="1" applyNumberFormat="1" applyFont="1" applyBorder="1" applyAlignment="1">
      <alignment horizontal="left"/>
    </xf>
    <xf numFmtId="1" fontId="7" fillId="0" borderId="20" xfId="0" quotePrefix="1" applyNumberFormat="1" applyFont="1" applyBorder="1" applyAlignment="1">
      <alignment horizontal="left"/>
    </xf>
    <xf numFmtId="1" fontId="7" fillId="0" borderId="20" xfId="0" applyNumberFormat="1" applyFont="1" applyBorder="1"/>
    <xf numFmtId="0" fontId="0" fillId="0" borderId="35" xfId="0" applyBorder="1"/>
    <xf numFmtId="1" fontId="7" fillId="0" borderId="35" xfId="0" applyNumberFormat="1" applyFont="1" applyBorder="1"/>
    <xf numFmtId="1" fontId="7" fillId="0" borderId="37" xfId="0" applyNumberFormat="1" applyFont="1" applyBorder="1" applyAlignment="1">
      <alignment horizontal="left"/>
    </xf>
    <xf numFmtId="1" fontId="0" fillId="0" borderId="51" xfId="0" applyNumberFormat="1" applyBorder="1"/>
    <xf numFmtId="1" fontId="0" fillId="0" borderId="32" xfId="0" applyNumberFormat="1" applyBorder="1"/>
    <xf numFmtId="3" fontId="95" fillId="3" borderId="13" xfId="5" applyNumberFormat="1" applyFont="1" applyFill="1" applyBorder="1" applyAlignment="1">
      <alignment horizontal="right"/>
    </xf>
    <xf numFmtId="49" fontId="95" fillId="0" borderId="17" xfId="0" applyNumberFormat="1" applyFont="1" applyBorder="1" applyAlignment="1">
      <alignment horizontal="center"/>
    </xf>
    <xf numFmtId="0" fontId="95" fillId="0" borderId="66" xfId="0" applyFont="1" applyBorder="1" applyAlignment="1">
      <alignment wrapText="1"/>
    </xf>
    <xf numFmtId="3" fontId="95" fillId="0" borderId="52" xfId="5" applyNumberFormat="1" applyFont="1" applyBorder="1" applyAlignment="1">
      <alignment horizontal="right"/>
    </xf>
    <xf numFmtId="3" fontId="95" fillId="3" borderId="40" xfId="5" applyNumberFormat="1" applyFont="1" applyFill="1" applyBorder="1" applyAlignment="1">
      <alignment horizontal="right"/>
    </xf>
    <xf numFmtId="3" fontId="95" fillId="0" borderId="40" xfId="5" applyNumberFormat="1" applyFont="1" applyBorder="1" applyAlignment="1">
      <alignment horizontal="right"/>
    </xf>
    <xf numFmtId="3" fontId="94" fillId="0" borderId="12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170" fontId="50" fillId="0" borderId="36" xfId="0" applyNumberFormat="1" applyFont="1" applyBorder="1" applyAlignment="1">
      <alignment horizontal="left"/>
    </xf>
    <xf numFmtId="0" fontId="47" fillId="0" borderId="35" xfId="0" applyFont="1" applyBorder="1"/>
    <xf numFmtId="0" fontId="47" fillId="0" borderId="20" xfId="0" applyFont="1" applyBorder="1"/>
    <xf numFmtId="0" fontId="52" fillId="0" borderId="0" xfId="0" applyFont="1" applyBorder="1"/>
    <xf numFmtId="1" fontId="53" fillId="0" borderId="0" xfId="0" applyNumberFormat="1" applyFont="1" applyBorder="1" applyAlignment="1">
      <alignment horizontal="right" wrapText="1"/>
    </xf>
    <xf numFmtId="1" fontId="53" fillId="0" borderId="0" xfId="0" applyNumberFormat="1" applyFont="1" applyBorder="1" applyAlignment="1">
      <alignment horizontal="right"/>
    </xf>
    <xf numFmtId="0" fontId="47" fillId="0" borderId="32" xfId="0" applyFont="1" applyBorder="1"/>
    <xf numFmtId="3" fontId="53" fillId="0" borderId="1" xfId="0" applyNumberFormat="1" applyFont="1" applyBorder="1" applyAlignment="1">
      <alignment horizontal="right"/>
    </xf>
    <xf numFmtId="3" fontId="46" fillId="0" borderId="1" xfId="0" applyNumberFormat="1" applyFont="1" applyBorder="1" applyAlignment="1">
      <alignment horizontal="right"/>
    </xf>
    <xf numFmtId="3" fontId="53" fillId="0" borderId="1" xfId="0" applyNumberFormat="1" applyFont="1" applyBorder="1" applyAlignment="1">
      <alignment horizontal="right" wrapText="1"/>
    </xf>
    <xf numFmtId="3" fontId="53" fillId="0" borderId="66" xfId="0" applyNumberFormat="1" applyFont="1" applyBorder="1" applyAlignment="1">
      <alignment horizontal="right" wrapText="1"/>
    </xf>
    <xf numFmtId="3" fontId="48" fillId="0" borderId="66" xfId="0" applyNumberFormat="1" applyFont="1" applyBorder="1" applyAlignment="1">
      <alignment horizontal="right"/>
    </xf>
    <xf numFmtId="3" fontId="48" fillId="0" borderId="58" xfId="0" applyNumberFormat="1" applyFont="1" applyBorder="1" applyAlignment="1">
      <alignment horizontal="right"/>
    </xf>
    <xf numFmtId="170" fontId="52" fillId="0" borderId="62" xfId="0" applyNumberFormat="1" applyFont="1" applyBorder="1" applyAlignment="1">
      <alignment horizontal="left"/>
    </xf>
    <xf numFmtId="170" fontId="52" fillId="0" borderId="29" xfId="0" applyNumberFormat="1" applyFont="1" applyBorder="1" applyAlignment="1">
      <alignment horizontal="center"/>
    </xf>
    <xf numFmtId="0" fontId="52" fillId="0" borderId="62" xfId="0" applyFont="1" applyBorder="1"/>
    <xf numFmtId="170" fontId="52" fillId="0" borderId="3" xfId="0" applyNumberFormat="1" applyFont="1" applyBorder="1" applyAlignment="1">
      <alignment horizontal="center"/>
    </xf>
    <xf numFmtId="169" fontId="50" fillId="0" borderId="20" xfId="0" applyNumberFormat="1" applyFont="1" applyBorder="1"/>
    <xf numFmtId="0" fontId="52" fillId="0" borderId="20" xfId="0" applyFont="1" applyBorder="1" applyAlignment="1">
      <alignment horizontal="center"/>
    </xf>
    <xf numFmtId="170" fontId="52" fillId="0" borderId="37" xfId="0" applyNumberFormat="1" applyFont="1" applyBorder="1" applyAlignment="1">
      <alignment horizontal="center"/>
    </xf>
    <xf numFmtId="0" fontId="53" fillId="0" borderId="36" xfId="0" applyFont="1" applyBorder="1" applyAlignment="1">
      <alignment wrapText="1"/>
    </xf>
    <xf numFmtId="0" fontId="50" fillId="0" borderId="35" xfId="0" applyFont="1" applyBorder="1"/>
    <xf numFmtId="170" fontId="51" fillId="0" borderId="32" xfId="0" applyNumberFormat="1" applyFont="1" applyBorder="1" applyAlignment="1">
      <alignment horizontal="right"/>
    </xf>
    <xf numFmtId="170" fontId="52" fillId="0" borderId="28" xfId="0" applyNumberFormat="1" applyFont="1" applyBorder="1" applyAlignment="1">
      <alignment horizontal="center"/>
    </xf>
    <xf numFmtId="3" fontId="53" fillId="0" borderId="66" xfId="0" applyNumberFormat="1" applyFont="1" applyBorder="1" applyAlignment="1">
      <alignment horizontal="right"/>
    </xf>
    <xf numFmtId="3" fontId="74" fillId="7" borderId="12" xfId="5" applyNumberFormat="1" applyFont="1" applyFill="1" applyBorder="1" applyAlignment="1">
      <alignment horizontal="right" vertical="center" wrapText="1"/>
    </xf>
    <xf numFmtId="3" fontId="74" fillId="7" borderId="12" xfId="5" applyNumberFormat="1" applyFont="1" applyFill="1" applyBorder="1" applyAlignment="1">
      <alignment horizontal="right"/>
    </xf>
    <xf numFmtId="0" fontId="0" fillId="0" borderId="20" xfId="0" applyBorder="1"/>
    <xf numFmtId="0" fontId="0" fillId="0" borderId="0" xfId="0"/>
    <xf numFmtId="3" fontId="53" fillId="0" borderId="50" xfId="0" applyNumberFormat="1" applyFont="1" applyBorder="1" applyAlignment="1">
      <alignment horizontal="right"/>
    </xf>
    <xf numFmtId="0" fontId="53" fillId="0" borderId="49" xfId="0" applyFont="1" applyBorder="1" applyAlignment="1">
      <alignment wrapText="1"/>
    </xf>
    <xf numFmtId="170" fontId="52" fillId="0" borderId="34" xfId="0" applyNumberFormat="1" applyFont="1" applyBorder="1" applyAlignment="1">
      <alignment horizontal="left"/>
    </xf>
    <xf numFmtId="170" fontId="53" fillId="0" borderId="51" xfId="0" applyNumberFormat="1" applyFont="1" applyBorder="1" applyAlignment="1">
      <alignment horizontal="right"/>
    </xf>
    <xf numFmtId="1" fontId="53" fillId="0" borderId="50" xfId="0" applyNumberFormat="1" applyFont="1" applyBorder="1" applyAlignment="1">
      <alignment horizontal="right" wrapText="1"/>
    </xf>
    <xf numFmtId="3" fontId="53" fillId="0" borderId="20" xfId="0" applyNumberFormat="1" applyFont="1" applyBorder="1" applyAlignment="1">
      <alignment horizontal="right"/>
    </xf>
    <xf numFmtId="3" fontId="53" fillId="0" borderId="20" xfId="0" applyNumberFormat="1" applyFont="1" applyBorder="1" applyAlignment="1">
      <alignment horizontal="left"/>
    </xf>
    <xf numFmtId="3" fontId="53" fillId="0" borderId="45" xfId="0" applyNumberFormat="1" applyFont="1" applyBorder="1" applyAlignment="1">
      <alignment horizontal="left"/>
    </xf>
    <xf numFmtId="3" fontId="48" fillId="0" borderId="45" xfId="0" applyNumberFormat="1" applyFont="1" applyBorder="1"/>
    <xf numFmtId="0" fontId="47" fillId="0" borderId="23" xfId="0" applyFont="1" applyBorder="1" applyAlignment="1">
      <alignment horizontal="center"/>
    </xf>
    <xf numFmtId="3" fontId="53" fillId="0" borderId="53" xfId="0" applyNumberFormat="1" applyFont="1" applyBorder="1" applyAlignment="1">
      <alignment horizontal="right"/>
    </xf>
    <xf numFmtId="3" fontId="46" fillId="0" borderId="53" xfId="0" applyNumberFormat="1" applyFont="1" applyBorder="1" applyAlignment="1">
      <alignment horizontal="right"/>
    </xf>
    <xf numFmtId="3" fontId="53" fillId="0" borderId="53" xfId="0" applyNumberFormat="1" applyFont="1" applyBorder="1" applyAlignment="1">
      <alignment horizontal="right" wrapText="1"/>
    </xf>
    <xf numFmtId="3" fontId="53" fillId="0" borderId="40" xfId="0" applyNumberFormat="1" applyFont="1" applyBorder="1" applyAlignment="1">
      <alignment horizontal="right" wrapText="1"/>
    </xf>
    <xf numFmtId="3" fontId="48" fillId="0" borderId="22" xfId="0" applyNumberFormat="1" applyFont="1" applyBorder="1"/>
    <xf numFmtId="0" fontId="2" fillId="0" borderId="22" xfId="0" applyFont="1" applyBorder="1"/>
    <xf numFmtId="0" fontId="0" fillId="0" borderId="46" xfId="0" applyBorder="1"/>
    <xf numFmtId="1" fontId="0" fillId="0" borderId="15" xfId="0" applyNumberFormat="1" applyBorder="1"/>
    <xf numFmtId="1" fontId="0" fillId="0" borderId="23" xfId="0" applyNumberFormat="1" applyBorder="1"/>
    <xf numFmtId="0" fontId="0" fillId="0" borderId="55" xfId="0" applyBorder="1"/>
    <xf numFmtId="0" fontId="7" fillId="0" borderId="10" xfId="0" applyFont="1" applyBorder="1"/>
    <xf numFmtId="0" fontId="0" fillId="0" borderId="13" xfId="0" applyBorder="1"/>
    <xf numFmtId="3" fontId="0" fillId="0" borderId="0" xfId="0" applyNumberFormat="1" applyBorder="1"/>
    <xf numFmtId="0" fontId="7" fillId="0" borderId="45" xfId="0" applyFont="1" applyBorder="1"/>
    <xf numFmtId="0" fontId="0" fillId="0" borderId="53" xfId="0" applyBorder="1"/>
    <xf numFmtId="1" fontId="0" fillId="0" borderId="10" xfId="0" applyNumberFormat="1" applyBorder="1"/>
    <xf numFmtId="0" fontId="0" fillId="0" borderId="37" xfId="0" applyBorder="1"/>
    <xf numFmtId="1" fontId="0" fillId="0" borderId="55" xfId="0" applyNumberFormat="1" applyBorder="1"/>
    <xf numFmtId="1" fontId="0" fillId="0" borderId="13" xfId="0" applyNumberFormat="1" applyBorder="1"/>
    <xf numFmtId="49" fontId="46" fillId="5" borderId="5" xfId="0" applyNumberFormat="1" applyFont="1" applyFill="1" applyBorder="1"/>
    <xf numFmtId="0" fontId="47" fillId="5" borderId="5" xfId="0" applyFont="1" applyFill="1" applyBorder="1"/>
    <xf numFmtId="170" fontId="47" fillId="5" borderId="5" xfId="0" applyNumberFormat="1" applyFont="1" applyFill="1" applyBorder="1" applyAlignment="1">
      <alignment horizontal="right"/>
    </xf>
    <xf numFmtId="3" fontId="113" fillId="7" borderId="12" xfId="5" applyNumberFormat="1" applyFont="1" applyFill="1" applyBorder="1" applyAlignment="1">
      <alignment horizontal="right"/>
    </xf>
    <xf numFmtId="3" fontId="113" fillId="5" borderId="39" xfId="5" applyNumberFormat="1" applyFont="1" applyFill="1" applyBorder="1" applyAlignment="1">
      <alignment horizontal="right"/>
    </xf>
    <xf numFmtId="171" fontId="115" fillId="0" borderId="5" xfId="1" applyNumberFormat="1" applyFont="1" applyBorder="1"/>
    <xf numFmtId="171" fontId="115" fillId="0" borderId="60" xfId="1" applyNumberFormat="1" applyFont="1" applyBorder="1"/>
    <xf numFmtId="171" fontId="115" fillId="0" borderId="76" xfId="1" applyNumberFormat="1" applyFont="1" applyBorder="1" applyAlignment="1">
      <alignment horizontal="right"/>
    </xf>
    <xf numFmtId="171" fontId="115" fillId="4" borderId="12" xfId="1" applyNumberFormat="1" applyFont="1" applyFill="1" applyBorder="1"/>
    <xf numFmtId="171" fontId="115" fillId="4" borderId="56" xfId="1" applyNumberFormat="1" applyFont="1" applyFill="1" applyBorder="1"/>
    <xf numFmtId="171" fontId="115" fillId="4" borderId="77" xfId="1" applyNumberFormat="1" applyFont="1" applyFill="1" applyBorder="1"/>
    <xf numFmtId="171" fontId="115" fillId="4" borderId="52" xfId="1" applyNumberFormat="1" applyFont="1" applyFill="1" applyBorder="1"/>
    <xf numFmtId="171" fontId="115" fillId="4" borderId="64" xfId="1" applyNumberFormat="1" applyFont="1" applyFill="1" applyBorder="1"/>
    <xf numFmtId="171" fontId="115" fillId="4" borderId="74" xfId="1" applyNumberFormat="1" applyFont="1" applyFill="1" applyBorder="1"/>
    <xf numFmtId="1" fontId="7" fillId="0" borderId="72" xfId="0" applyNumberFormat="1" applyFont="1" applyBorder="1"/>
    <xf numFmtId="171" fontId="103" fillId="0" borderId="68" xfId="1" applyNumberFormat="1" applyFont="1" applyBorder="1" applyAlignment="1">
      <alignment horizontal="right"/>
    </xf>
    <xf numFmtId="171" fontId="95" fillId="0" borderId="10" xfId="1" applyNumberFormat="1" applyFont="1" applyBorder="1" applyAlignment="1">
      <alignment horizontal="right" vertical="center"/>
    </xf>
    <xf numFmtId="171" fontId="103" fillId="3" borderId="43" xfId="1" applyNumberFormat="1" applyFont="1" applyFill="1" applyBorder="1" applyAlignment="1">
      <alignment wrapText="1"/>
    </xf>
    <xf numFmtId="171" fontId="95" fillId="3" borderId="43" xfId="1" applyNumberFormat="1" applyFont="1" applyFill="1" applyBorder="1" applyAlignment="1">
      <alignment horizontal="left" vertical="center"/>
    </xf>
    <xf numFmtId="171" fontId="103" fillId="3" borderId="43" xfId="1" applyNumberFormat="1" applyFont="1" applyFill="1" applyBorder="1" applyAlignment="1">
      <alignment horizontal="right"/>
    </xf>
    <xf numFmtId="171" fontId="103" fillId="8" borderId="55" xfId="1" applyNumberFormat="1" applyFont="1" applyFill="1" applyBorder="1" applyAlignment="1">
      <alignment horizontal="right"/>
    </xf>
    <xf numFmtId="171" fontId="103" fillId="3" borderId="4" xfId="1" applyNumberFormat="1" applyFont="1" applyFill="1" applyBorder="1" applyAlignment="1">
      <alignment wrapText="1"/>
    </xf>
    <xf numFmtId="171" fontId="95" fillId="3" borderId="4" xfId="1" applyNumberFormat="1" applyFont="1" applyFill="1" applyBorder="1" applyAlignment="1">
      <alignment horizontal="left" vertical="center"/>
    </xf>
    <xf numFmtId="171" fontId="103" fillId="3" borderId="4" xfId="1" applyNumberFormat="1" applyFont="1" applyFill="1" applyBorder="1" applyAlignment="1">
      <alignment horizontal="right"/>
    </xf>
    <xf numFmtId="171" fontId="103" fillId="3" borderId="23" xfId="1" applyNumberFormat="1" applyFont="1" applyFill="1" applyBorder="1" applyAlignment="1">
      <alignment horizontal="right"/>
    </xf>
    <xf numFmtId="171" fontId="103" fillId="3" borderId="6" xfId="1" applyNumberFormat="1" applyFont="1" applyFill="1" applyBorder="1" applyAlignment="1">
      <alignment horizontal="right"/>
    </xf>
    <xf numFmtId="171" fontId="103" fillId="3" borderId="53" xfId="1" applyNumberFormat="1" applyFont="1" applyFill="1" applyBorder="1" applyAlignment="1">
      <alignment horizontal="right"/>
    </xf>
    <xf numFmtId="171" fontId="103" fillId="3" borderId="55" xfId="1" applyNumberFormat="1" applyFont="1" applyFill="1" applyBorder="1" applyAlignment="1">
      <alignment horizontal="right"/>
    </xf>
    <xf numFmtId="171" fontId="103" fillId="3" borderId="15" xfId="1" applyNumberFormat="1" applyFont="1" applyFill="1" applyBorder="1" applyAlignment="1">
      <alignment horizontal="right"/>
    </xf>
    <xf numFmtId="171" fontId="103" fillId="3" borderId="43" xfId="1" applyNumberFormat="1" applyFont="1" applyFill="1" applyBorder="1"/>
    <xf numFmtId="171" fontId="103" fillId="3" borderId="55" xfId="1" applyNumberFormat="1" applyFont="1" applyFill="1" applyBorder="1"/>
    <xf numFmtId="171" fontId="103" fillId="3" borderId="4" xfId="1" applyNumberFormat="1" applyFont="1" applyFill="1" applyBorder="1"/>
    <xf numFmtId="171" fontId="103" fillId="3" borderId="23" xfId="1" applyNumberFormat="1" applyFont="1" applyFill="1" applyBorder="1"/>
    <xf numFmtId="171" fontId="103" fillId="3" borderId="0" xfId="1" applyNumberFormat="1" applyFont="1" applyFill="1" applyAlignment="1">
      <alignment horizontal="right"/>
    </xf>
    <xf numFmtId="171" fontId="103" fillId="3" borderId="20" xfId="1" applyNumberFormat="1" applyFont="1" applyFill="1" applyBorder="1" applyAlignment="1">
      <alignment horizontal="right"/>
    </xf>
    <xf numFmtId="171" fontId="103" fillId="8" borderId="22" xfId="1" applyNumberFormat="1" applyFont="1" applyFill="1" applyBorder="1" applyAlignment="1">
      <alignment horizontal="right"/>
    </xf>
    <xf numFmtId="171" fontId="103" fillId="3" borderId="7" xfId="1" applyNumberFormat="1" applyFont="1" applyFill="1" applyBorder="1" applyAlignment="1">
      <alignment horizontal="right"/>
    </xf>
    <xf numFmtId="171" fontId="103" fillId="3" borderId="70" xfId="1" applyNumberFormat="1" applyFont="1" applyFill="1" applyBorder="1" applyAlignment="1">
      <alignment horizontal="right"/>
    </xf>
    <xf numFmtId="171" fontId="103" fillId="3" borderId="6" xfId="1" applyNumberFormat="1" applyFont="1" applyFill="1" applyBorder="1"/>
    <xf numFmtId="171" fontId="103" fillId="3" borderId="7" xfId="1" applyNumberFormat="1" applyFont="1" applyFill="1" applyBorder="1"/>
    <xf numFmtId="171" fontId="103" fillId="8" borderId="53" xfId="1" applyNumberFormat="1" applyFont="1" applyFill="1" applyBorder="1"/>
    <xf numFmtId="49" fontId="46" fillId="0" borderId="19" xfId="0" applyNumberFormat="1" applyFont="1" applyBorder="1" applyAlignment="1">
      <alignment horizontal="center"/>
    </xf>
    <xf numFmtId="0" fontId="46" fillId="0" borderId="6" xfId="0" applyFont="1" applyBorder="1"/>
    <xf numFmtId="3" fontId="46" fillId="0" borderId="6" xfId="5" applyNumberFormat="1" applyFont="1" applyBorder="1" applyAlignment="1">
      <alignment horizontal="right"/>
    </xf>
    <xf numFmtId="3" fontId="46" fillId="0" borderId="6" xfId="0" applyNumberFormat="1" applyFont="1" applyBorder="1" applyAlignment="1">
      <alignment horizontal="right"/>
    </xf>
    <xf numFmtId="3" fontId="46" fillId="4" borderId="53" xfId="5" applyNumberFormat="1" applyFont="1" applyFill="1" applyBorder="1" applyAlignment="1">
      <alignment horizontal="right"/>
    </xf>
    <xf numFmtId="49" fontId="47" fillId="0" borderId="19" xfId="0" applyNumberFormat="1" applyFont="1" applyBorder="1" applyAlignment="1">
      <alignment horizontal="center"/>
    </xf>
    <xf numFmtId="0" fontId="47" fillId="0" borderId="6" xfId="0" applyFont="1" applyBorder="1"/>
    <xf numFmtId="3" fontId="113" fillId="5" borderId="74" xfId="5" applyNumberFormat="1" applyFont="1" applyFill="1" applyBorder="1" applyAlignment="1">
      <alignment horizontal="right"/>
    </xf>
    <xf numFmtId="3" fontId="113" fillId="4" borderId="74" xfId="5" applyNumberFormat="1" applyFont="1" applyFill="1" applyBorder="1" applyAlignment="1">
      <alignment horizontal="right"/>
    </xf>
    <xf numFmtId="3" fontId="113" fillId="0" borderId="53" xfId="0" applyNumberFormat="1" applyFont="1" applyBorder="1" applyAlignment="1">
      <alignment horizontal="right"/>
    </xf>
    <xf numFmtId="49" fontId="115" fillId="0" borderId="19" xfId="0" applyNumberFormat="1" applyFont="1" applyBorder="1" applyAlignment="1">
      <alignment horizontal="center"/>
    </xf>
    <xf numFmtId="0" fontId="115" fillId="0" borderId="6" xfId="0" applyFont="1" applyBorder="1"/>
    <xf numFmtId="49" fontId="113" fillId="0" borderId="1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74" fillId="0" borderId="6" xfId="0" applyFont="1" applyBorder="1" applyAlignment="1">
      <alignment wrapText="1"/>
    </xf>
    <xf numFmtId="3" fontId="74" fillId="0" borderId="6" xfId="0" applyNumberFormat="1" applyFont="1" applyBorder="1" applyAlignment="1">
      <alignment horizontal="right"/>
    </xf>
    <xf numFmtId="3" fontId="74" fillId="0" borderId="7" xfId="0" applyNumberFormat="1" applyFont="1" applyBorder="1" applyAlignment="1">
      <alignment horizontal="right"/>
    </xf>
    <xf numFmtId="3" fontId="74" fillId="4" borderId="53" xfId="5" applyNumberFormat="1" applyFont="1" applyFill="1" applyBorder="1" applyAlignment="1">
      <alignment horizontal="right"/>
    </xf>
    <xf numFmtId="0" fontId="1" fillId="0" borderId="31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7" fillId="0" borderId="62" xfId="0" applyFont="1" applyBorder="1" applyAlignment="1">
      <alignment horizontal="center" wrapText="1"/>
    </xf>
    <xf numFmtId="0" fontId="0" fillId="0" borderId="25" xfId="0" applyBorder="1"/>
    <xf numFmtId="0" fontId="7" fillId="0" borderId="79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79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1" fillId="0" borderId="79" xfId="0" applyFont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63" xfId="0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0" fillId="0" borderId="20" xfId="0" applyBorder="1"/>
    <xf numFmtId="0" fontId="7" fillId="0" borderId="6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1" fillId="0" borderId="6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98" fillId="0" borderId="3" xfId="0" applyFont="1" applyBorder="1" applyAlignment="1">
      <alignment horizontal="center" wrapText="1"/>
    </xf>
    <xf numFmtId="0" fontId="98" fillId="0" borderId="29" xfId="0" applyFont="1" applyBorder="1" applyAlignment="1">
      <alignment horizontal="center"/>
    </xf>
    <xf numFmtId="49" fontId="75" fillId="4" borderId="8" xfId="0" applyNumberFormat="1" applyFont="1" applyFill="1" applyBorder="1" applyAlignment="1">
      <alignment horizontal="center"/>
    </xf>
    <xf numFmtId="0" fontId="75" fillId="4" borderId="9" xfId="0" applyFont="1" applyFill="1" applyBorder="1"/>
    <xf numFmtId="0" fontId="76" fillId="0" borderId="31" xfId="0" applyFont="1" applyBorder="1" applyAlignment="1">
      <alignment horizontal="center" wrapText="1"/>
    </xf>
    <xf numFmtId="0" fontId="88" fillId="0" borderId="30" xfId="0" applyFont="1" applyBorder="1" applyAlignment="1">
      <alignment horizontal="center"/>
    </xf>
    <xf numFmtId="0" fontId="88" fillId="0" borderId="32" xfId="0" applyFont="1" applyBorder="1" applyAlignment="1">
      <alignment horizontal="center"/>
    </xf>
    <xf numFmtId="49" fontId="75" fillId="3" borderId="33" xfId="0" applyNumberFormat="1" applyFont="1" applyFill="1" applyBorder="1" applyAlignment="1">
      <alignment horizontal="center" wrapText="1"/>
    </xf>
    <xf numFmtId="0" fontId="74" fillId="3" borderId="67" xfId="0" applyFont="1" applyFill="1" applyBorder="1" applyAlignment="1">
      <alignment horizontal="center" wrapText="1"/>
    </xf>
    <xf numFmtId="49" fontId="75" fillId="3" borderId="33" xfId="0" applyNumberFormat="1" applyFont="1" applyFill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5" fillId="3" borderId="19" xfId="0" applyFont="1" applyFill="1" applyBorder="1" applyAlignment="1">
      <alignment wrapText="1"/>
    </xf>
    <xf numFmtId="0" fontId="74" fillId="3" borderId="6" xfId="0" applyFont="1" applyFill="1" applyBorder="1" applyAlignment="1">
      <alignment wrapText="1"/>
    </xf>
    <xf numFmtId="0" fontId="75" fillId="3" borderId="49" xfId="0" applyFont="1" applyFill="1" applyBorder="1" applyAlignment="1">
      <alignment horizontal="center"/>
    </xf>
    <xf numFmtId="0" fontId="75" fillId="3" borderId="57" xfId="0" applyFont="1" applyFill="1" applyBorder="1"/>
    <xf numFmtId="0" fontId="75" fillId="3" borderId="49" xfId="0" applyFont="1" applyFill="1" applyBorder="1" applyAlignment="1">
      <alignment horizontal="center" vertical="center"/>
    </xf>
    <xf numFmtId="0" fontId="75" fillId="3" borderId="57" xfId="0" applyFont="1" applyFill="1" applyBorder="1" applyAlignment="1">
      <alignment horizontal="center" vertical="center"/>
    </xf>
    <xf numFmtId="49" fontId="75" fillId="3" borderId="16" xfId="0" applyNumberFormat="1" applyFont="1" applyFill="1" applyBorder="1" applyAlignment="1">
      <alignment horizontal="center" wrapText="1"/>
    </xf>
    <xf numFmtId="0" fontId="74" fillId="3" borderId="4" xfId="0" applyFont="1" applyFill="1" applyBorder="1" applyAlignment="1">
      <alignment horizontal="center" wrapText="1"/>
    </xf>
    <xf numFmtId="49" fontId="75" fillId="3" borderId="49" xfId="0" applyNumberFormat="1" applyFont="1" applyFill="1" applyBorder="1" applyAlignment="1">
      <alignment horizontal="center"/>
    </xf>
    <xf numFmtId="0" fontId="75" fillId="3" borderId="57" xfId="0" applyFont="1" applyFill="1" applyBorder="1" applyAlignment="1">
      <alignment horizontal="center"/>
    </xf>
    <xf numFmtId="49" fontId="75" fillId="6" borderId="31" xfId="0" applyNumberFormat="1" applyFont="1" applyFill="1" applyBorder="1" applyAlignment="1">
      <alignment horizontal="center"/>
    </xf>
    <xf numFmtId="0" fontId="74" fillId="6" borderId="58" xfId="0" applyFont="1" applyFill="1" applyBorder="1"/>
    <xf numFmtId="0" fontId="75" fillId="3" borderId="31" xfId="0" applyFont="1" applyFill="1" applyBorder="1" applyAlignment="1">
      <alignment horizontal="center" wrapText="1"/>
    </xf>
    <xf numFmtId="0" fontId="75" fillId="3" borderId="30" xfId="0" applyFont="1" applyFill="1" applyBorder="1" applyAlignment="1">
      <alignment horizontal="center" wrapText="1"/>
    </xf>
    <xf numFmtId="0" fontId="75" fillId="3" borderId="58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63" fillId="0" borderId="31" xfId="0" applyFont="1" applyBorder="1" applyAlignment="1">
      <alignment horizontal="center" wrapText="1"/>
    </xf>
    <xf numFmtId="0" fontId="36" fillId="0" borderId="30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97" fillId="0" borderId="31" xfId="0" applyFont="1" applyBorder="1" applyAlignment="1">
      <alignment horizontal="center" wrapText="1"/>
    </xf>
    <xf numFmtId="0" fontId="97" fillId="0" borderId="30" xfId="0" applyFont="1" applyBorder="1" applyAlignment="1">
      <alignment horizontal="center" wrapText="1"/>
    </xf>
    <xf numFmtId="0" fontId="99" fillId="0" borderId="31" xfId="0" applyFont="1" applyBorder="1" applyAlignment="1">
      <alignment horizontal="center"/>
    </xf>
    <xf numFmtId="0" fontId="99" fillId="0" borderId="30" xfId="0" applyFont="1" applyBorder="1" applyAlignment="1">
      <alignment horizontal="center"/>
    </xf>
    <xf numFmtId="0" fontId="99" fillId="0" borderId="32" xfId="0" applyFont="1" applyBorder="1" applyAlignment="1">
      <alignment horizontal="center"/>
    </xf>
    <xf numFmtId="0" fontId="56" fillId="0" borderId="31" xfId="0" applyFont="1" applyBorder="1" applyAlignment="1">
      <alignment horizontal="center" wrapText="1"/>
    </xf>
    <xf numFmtId="0" fontId="56" fillId="0" borderId="30" xfId="0" applyFont="1" applyBorder="1" applyAlignment="1">
      <alignment horizontal="center" wrapText="1"/>
    </xf>
    <xf numFmtId="0" fontId="56" fillId="0" borderId="32" xfId="0" applyFont="1" applyBorder="1" applyAlignment="1">
      <alignment horizontal="center" wrapText="1"/>
    </xf>
    <xf numFmtId="0" fontId="5" fillId="0" borderId="31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48" fillId="0" borderId="31" xfId="0" applyFont="1" applyBorder="1" applyAlignment="1">
      <alignment horizontal="center"/>
    </xf>
    <xf numFmtId="0" fontId="48" fillId="0" borderId="30" xfId="0" applyFont="1" applyBorder="1" applyAlignment="1">
      <alignment horizontal="center"/>
    </xf>
    <xf numFmtId="0" fontId="48" fillId="0" borderId="32" xfId="0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170" fontId="0" fillId="0" borderId="11" xfId="0" applyNumberFormat="1" applyBorder="1" applyAlignment="1">
      <alignment horizontal="left"/>
    </xf>
    <xf numFmtId="170" fontId="0" fillId="0" borderId="12" xfId="0" applyNumberFormat="1" applyBorder="1" applyAlignment="1">
      <alignment horizontal="left"/>
    </xf>
    <xf numFmtId="170" fontId="0" fillId="0" borderId="16" xfId="0" applyNumberFormat="1" applyBorder="1" applyAlignment="1">
      <alignment horizontal="left"/>
    </xf>
    <xf numFmtId="170" fontId="0" fillId="0" borderId="4" xfId="0" applyNumberFormat="1" applyBorder="1" applyAlignment="1">
      <alignment horizontal="left"/>
    </xf>
    <xf numFmtId="170" fontId="8" fillId="0" borderId="4" xfId="0" applyNumberFormat="1" applyFont="1" applyBorder="1" applyAlignment="1">
      <alignment horizontal="left"/>
    </xf>
    <xf numFmtId="170" fontId="7" fillId="0" borderId="31" xfId="0" applyNumberFormat="1" applyFont="1" applyBorder="1" applyAlignment="1">
      <alignment horizontal="center" wrapText="1"/>
    </xf>
    <xf numFmtId="170" fontId="7" fillId="0" borderId="30" xfId="0" applyNumberFormat="1" applyFont="1" applyBorder="1" applyAlignment="1">
      <alignment horizontal="center" wrapText="1"/>
    </xf>
    <xf numFmtId="170" fontId="7" fillId="0" borderId="32" xfId="0" applyNumberFormat="1" applyFont="1" applyBorder="1" applyAlignment="1">
      <alignment horizontal="center" wrapText="1"/>
    </xf>
    <xf numFmtId="170" fontId="7" fillId="0" borderId="33" xfId="0" applyNumberFormat="1" applyFont="1" applyBorder="1" applyAlignment="1">
      <alignment horizontal="left" wrapText="1"/>
    </xf>
    <xf numFmtId="170" fontId="7" fillId="0" borderId="34" xfId="0" applyNumberFormat="1" applyFont="1" applyBorder="1" applyAlignment="1">
      <alignment horizontal="left"/>
    </xf>
    <xf numFmtId="170" fontId="7" fillId="0" borderId="35" xfId="0" applyNumberFormat="1" applyFont="1" applyBorder="1" applyAlignment="1">
      <alignment horizontal="left"/>
    </xf>
    <xf numFmtId="0" fontId="98" fillId="0" borderId="44" xfId="0" applyFont="1" applyBorder="1" applyAlignment="1">
      <alignment horizontal="center" wrapText="1"/>
    </xf>
    <xf numFmtId="0" fontId="98" fillId="0" borderId="0" xfId="0" applyFont="1" applyBorder="1" applyAlignment="1">
      <alignment horizontal="center" wrapText="1"/>
    </xf>
    <xf numFmtId="0" fontId="98" fillId="0" borderId="20" xfId="0" applyFont="1" applyBorder="1" applyAlignment="1">
      <alignment horizontal="center" wrapText="1"/>
    </xf>
    <xf numFmtId="0" fontId="115" fillId="0" borderId="31" xfId="0" applyFont="1" applyBorder="1" applyAlignment="1">
      <alignment horizontal="center" wrapText="1"/>
    </xf>
    <xf numFmtId="0" fontId="115" fillId="0" borderId="30" xfId="0" applyFont="1" applyBorder="1" applyAlignment="1">
      <alignment horizontal="center" wrapText="1"/>
    </xf>
    <xf numFmtId="0" fontId="115" fillId="0" borderId="58" xfId="0" applyFont="1" applyBorder="1" applyAlignment="1">
      <alignment horizontal="center" wrapText="1"/>
    </xf>
    <xf numFmtId="0" fontId="115" fillId="4" borderId="46" xfId="0" applyFont="1" applyFill="1" applyBorder="1" applyAlignment="1">
      <alignment horizontal="center" wrapText="1"/>
    </xf>
    <xf numFmtId="0" fontId="115" fillId="4" borderId="63" xfId="0" applyFont="1" applyFill="1" applyBorder="1" applyAlignment="1">
      <alignment horizontal="center" wrapText="1"/>
    </xf>
    <xf numFmtId="0" fontId="115" fillId="3" borderId="31" xfId="0" applyFont="1" applyFill="1" applyBorder="1" applyAlignment="1">
      <alignment horizontal="center"/>
    </xf>
    <xf numFmtId="0" fontId="115" fillId="3" borderId="58" xfId="0" applyFont="1" applyFill="1" applyBorder="1"/>
    <xf numFmtId="0" fontId="115" fillId="3" borderId="31" xfId="0" applyFont="1" applyFill="1" applyBorder="1" applyAlignment="1">
      <alignment horizontal="center" vertical="center"/>
    </xf>
    <xf numFmtId="0" fontId="115" fillId="3" borderId="58" xfId="0" applyFont="1" applyFill="1" applyBorder="1" applyAlignment="1">
      <alignment horizontal="center" vertical="center"/>
    </xf>
    <xf numFmtId="49" fontId="115" fillId="3" borderId="49" xfId="0" applyNumberFormat="1" applyFont="1" applyFill="1" applyBorder="1" applyAlignment="1">
      <alignment horizontal="center" wrapText="1"/>
    </xf>
    <xf numFmtId="0" fontId="113" fillId="3" borderId="57" xfId="0" applyFont="1" applyFill="1" applyBorder="1" applyAlignment="1">
      <alignment horizontal="center" wrapText="1"/>
    </xf>
    <xf numFmtId="49" fontId="115" fillId="3" borderId="50" xfId="0" applyNumberFormat="1" applyFont="1" applyFill="1" applyBorder="1" applyAlignment="1">
      <alignment horizontal="center"/>
    </xf>
    <xf numFmtId="0" fontId="115" fillId="3" borderId="57" xfId="0" applyFont="1" applyFill="1" applyBorder="1" applyAlignment="1">
      <alignment horizontal="center"/>
    </xf>
    <xf numFmtId="0" fontId="115" fillId="4" borderId="46" xfId="0" applyFont="1" applyFill="1" applyBorder="1" applyAlignment="1">
      <alignment wrapText="1"/>
    </xf>
    <xf numFmtId="0" fontId="113" fillId="4" borderId="63" xfId="0" applyFont="1" applyFill="1" applyBorder="1" applyAlignment="1">
      <alignment wrapText="1"/>
    </xf>
    <xf numFmtId="0" fontId="115" fillId="4" borderId="33" xfId="0" applyFont="1" applyFill="1" applyBorder="1" applyAlignment="1">
      <alignment wrapText="1"/>
    </xf>
    <xf numFmtId="0" fontId="113" fillId="4" borderId="67" xfId="0" applyFont="1" applyFill="1" applyBorder="1" applyAlignment="1">
      <alignment wrapText="1"/>
    </xf>
    <xf numFmtId="0" fontId="115" fillId="4" borderId="4" xfId="0" applyFont="1" applyFill="1" applyBorder="1" applyAlignment="1">
      <alignment wrapText="1"/>
    </xf>
    <xf numFmtId="0" fontId="113" fillId="0" borderId="4" xfId="0" applyFont="1" applyBorder="1" applyAlignment="1">
      <alignment wrapText="1"/>
    </xf>
    <xf numFmtId="49" fontId="115" fillId="4" borderId="31" xfId="0" applyNumberFormat="1" applyFont="1" applyFill="1" applyBorder="1"/>
    <xf numFmtId="0" fontId="113" fillId="4" borderId="58" xfId="0" applyFont="1" applyFill="1" applyBorder="1"/>
    <xf numFmtId="1" fontId="45" fillId="0" borderId="31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1" fontId="7" fillId="0" borderId="32" xfId="0" applyNumberFormat="1" applyFont="1" applyBorder="1" applyAlignment="1">
      <alignment horizontal="center"/>
    </xf>
    <xf numFmtId="0" fontId="45" fillId="0" borderId="31" xfId="0" applyFont="1" applyBorder="1" applyAlignment="1">
      <alignment horizontal="center"/>
    </xf>
    <xf numFmtId="0" fontId="7" fillId="0" borderId="30" xfId="0" quotePrefix="1" applyFont="1" applyBorder="1" applyAlignment="1">
      <alignment horizontal="center"/>
    </xf>
    <xf numFmtId="0" fontId="7" fillId="0" borderId="32" xfId="0" quotePrefix="1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169" fontId="38" fillId="0" borderId="31" xfId="0" applyNumberFormat="1" applyFont="1" applyBorder="1" applyAlignment="1">
      <alignment wrapText="1"/>
    </xf>
    <xf numFmtId="169" fontId="44" fillId="0" borderId="30" xfId="0" applyNumberFormat="1" applyFont="1" applyBorder="1" applyAlignment="1">
      <alignment wrapText="1"/>
    </xf>
    <xf numFmtId="169" fontId="44" fillId="0" borderId="32" xfId="0" applyNumberFormat="1" applyFont="1" applyBorder="1" applyAlignment="1">
      <alignment wrapText="1"/>
    </xf>
    <xf numFmtId="0" fontId="1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61" xfId="0" applyFont="1" applyBorder="1" applyAlignment="1">
      <alignment horizontal="center" wrapText="1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03" fillId="3" borderId="31" xfId="0" applyFont="1" applyFill="1" applyBorder="1" applyAlignment="1">
      <alignment wrapText="1"/>
    </xf>
    <xf numFmtId="0" fontId="103" fillId="3" borderId="58" xfId="0" applyFont="1" applyFill="1" applyBorder="1" applyAlignment="1">
      <alignment wrapText="1"/>
    </xf>
    <xf numFmtId="0" fontId="94" fillId="0" borderId="46" xfId="0" applyFont="1" applyBorder="1" applyAlignment="1">
      <alignment horizontal="center" vertical="center"/>
    </xf>
    <xf numFmtId="0" fontId="94" fillId="0" borderId="63" xfId="0" applyFont="1" applyBorder="1" applyAlignment="1">
      <alignment horizontal="center" vertical="center"/>
    </xf>
    <xf numFmtId="0" fontId="99" fillId="0" borderId="31" xfId="0" applyFont="1" applyBorder="1" applyAlignment="1">
      <alignment horizontal="center" wrapText="1"/>
    </xf>
    <xf numFmtId="0" fontId="99" fillId="0" borderId="30" xfId="0" applyFont="1" applyBorder="1" applyAlignment="1">
      <alignment horizontal="center" wrapText="1"/>
    </xf>
    <xf numFmtId="0" fontId="99" fillId="0" borderId="32" xfId="0" applyFont="1" applyBorder="1" applyAlignment="1">
      <alignment horizontal="center" wrapText="1"/>
    </xf>
    <xf numFmtId="0" fontId="94" fillId="0" borderId="24" xfId="0" applyFont="1" applyBorder="1" applyAlignment="1">
      <alignment horizontal="center" vertical="center"/>
    </xf>
    <xf numFmtId="0" fontId="94" fillId="0" borderId="29" xfId="0" applyFont="1" applyBorder="1" applyAlignment="1">
      <alignment horizontal="center" vertical="center"/>
    </xf>
    <xf numFmtId="0" fontId="94" fillId="0" borderId="27" xfId="0" applyFont="1" applyBorder="1" applyAlignment="1">
      <alignment horizontal="center" vertical="center"/>
    </xf>
    <xf numFmtId="0" fontId="94" fillId="0" borderId="28" xfId="0" applyFont="1" applyBorder="1" applyAlignment="1">
      <alignment horizontal="center" vertical="center"/>
    </xf>
    <xf numFmtId="0" fontId="103" fillId="3" borderId="33" xfId="0" applyFont="1" applyFill="1" applyBorder="1" applyAlignment="1">
      <alignment wrapText="1"/>
    </xf>
    <xf numFmtId="0" fontId="96" fillId="3" borderId="67" xfId="0" applyFont="1" applyFill="1" applyBorder="1" applyAlignment="1">
      <alignment wrapText="1"/>
    </xf>
    <xf numFmtId="0" fontId="96" fillId="0" borderId="29" xfId="0" applyFont="1" applyBorder="1" applyAlignment="1">
      <alignment horizontal="center" vertical="center"/>
    </xf>
    <xf numFmtId="0" fontId="94" fillId="0" borderId="16" xfId="0" applyFont="1" applyBorder="1" applyAlignment="1">
      <alignment horizontal="center" vertical="center"/>
    </xf>
    <xf numFmtId="0" fontId="96" fillId="0" borderId="4" xfId="0" applyFont="1" applyBorder="1" applyAlignment="1">
      <alignment horizontal="center" vertical="center"/>
    </xf>
    <xf numFmtId="0" fontId="96" fillId="3" borderId="58" xfId="0" applyFont="1" applyFill="1" applyBorder="1" applyAlignment="1">
      <alignment wrapText="1"/>
    </xf>
    <xf numFmtId="0" fontId="103" fillId="3" borderId="46" xfId="0" applyFont="1" applyFill="1" applyBorder="1" applyAlignment="1">
      <alignment wrapText="1"/>
    </xf>
    <xf numFmtId="0" fontId="96" fillId="3" borderId="63" xfId="0" applyFont="1" applyFill="1" applyBorder="1" applyAlignment="1">
      <alignment wrapText="1"/>
    </xf>
    <xf numFmtId="0" fontId="94" fillId="0" borderId="16" xfId="0" applyFont="1" applyBorder="1" applyAlignment="1">
      <alignment horizontal="center"/>
    </xf>
    <xf numFmtId="0" fontId="96" fillId="0" borderId="4" xfId="0" applyFont="1" applyBorder="1"/>
    <xf numFmtId="171" fontId="103" fillId="3" borderId="33" xfId="1" applyNumberFormat="1" applyFont="1" applyFill="1" applyBorder="1" applyAlignment="1">
      <alignment wrapText="1"/>
    </xf>
    <xf numFmtId="171" fontId="96" fillId="3" borderId="67" xfId="1" applyNumberFormat="1" applyFont="1" applyFill="1" applyBorder="1" applyAlignment="1">
      <alignment wrapText="1"/>
    </xf>
    <xf numFmtId="0" fontId="94" fillId="7" borderId="27" xfId="0" applyFont="1" applyFill="1" applyBorder="1" applyAlignment="1">
      <alignment horizontal="center" vertical="center"/>
    </xf>
    <xf numFmtId="0" fontId="94" fillId="7" borderId="28" xfId="0" applyFont="1" applyFill="1" applyBorder="1" applyAlignment="1">
      <alignment horizontal="center" vertical="center"/>
    </xf>
    <xf numFmtId="0" fontId="7" fillId="3" borderId="31" xfId="0" applyFont="1" applyFill="1" applyBorder="1"/>
    <xf numFmtId="0" fontId="0" fillId="3" borderId="32" xfId="0" applyFill="1" applyBorder="1"/>
    <xf numFmtId="0" fontId="7" fillId="3" borderId="30" xfId="0" applyFont="1" applyFill="1" applyBorder="1"/>
    <xf numFmtId="0" fontId="7" fillId="0" borderId="31" xfId="0" applyFont="1" applyBorder="1"/>
    <xf numFmtId="0" fontId="0" fillId="0" borderId="32" xfId="0" applyBorder="1"/>
    <xf numFmtId="0" fontId="7" fillId="0" borderId="30" xfId="0" applyFont="1" applyBorder="1"/>
    <xf numFmtId="0" fontId="1" fillId="3" borderId="31" xfId="0" applyFont="1" applyFill="1" applyBorder="1"/>
    <xf numFmtId="0" fontId="1" fillId="3" borderId="30" xfId="0" applyFont="1" applyFill="1" applyBorder="1"/>
    <xf numFmtId="0" fontId="7" fillId="0" borderId="2" xfId="0" applyFont="1" applyBorder="1" applyAlignment="1">
      <alignment horizontal="center"/>
    </xf>
    <xf numFmtId="0" fontId="7" fillId="3" borderId="49" xfId="0" applyFont="1" applyFill="1" applyBorder="1"/>
    <xf numFmtId="0" fontId="0" fillId="3" borderId="51" xfId="0" applyFill="1" applyBorder="1"/>
    <xf numFmtId="0" fontId="7" fillId="3" borderId="80" xfId="0" applyFont="1" applyFill="1" applyBorder="1"/>
    <xf numFmtId="0" fontId="0" fillId="3" borderId="39" xfId="0" applyFill="1" applyBorder="1"/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97" fillId="0" borderId="32" xfId="0" applyFont="1" applyBorder="1" applyAlignment="1">
      <alignment horizontal="center" wrapText="1"/>
    </xf>
  </cellXfs>
  <cellStyles count="6">
    <cellStyle name="Ezres" xfId="1" builtinId="3"/>
    <cellStyle name="Ezres_Költségvetés 2005." xfId="2" xr:uid="{00000000-0005-0000-0000-000001000000}"/>
    <cellStyle name="Normál" xfId="0" builtinId="0"/>
    <cellStyle name="Normál_2003.évi költségvetés  xls" xfId="3" xr:uid="{00000000-0005-0000-0000-000003000000}"/>
    <cellStyle name="Normal_Dialog1_1_Module1" xfId="4" xr:uid="{00000000-0005-0000-0000-000004000000}"/>
    <cellStyle name="Pénznem" xfId="5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2">
    <pageSetUpPr fitToPage="1"/>
  </sheetPr>
  <dimension ref="A1:J148"/>
  <sheetViews>
    <sheetView topLeftCell="B35" workbookViewId="0">
      <selection activeCell="C1" sqref="C1:H60"/>
    </sheetView>
  </sheetViews>
  <sheetFormatPr defaultColWidth="9.140625" defaultRowHeight="15.75" x14ac:dyDescent="0.25"/>
  <cols>
    <col min="1" max="1" width="0.85546875" style="595" hidden="1" customWidth="1"/>
    <col min="2" max="2" width="0.85546875" style="17" customWidth="1"/>
    <col min="3" max="3" width="47.140625" style="17" customWidth="1"/>
    <col min="4" max="4" width="29.5703125" style="6" customWidth="1"/>
    <col min="5" max="5" width="19.28515625" style="6" customWidth="1"/>
    <col min="6" max="6" width="58.140625" style="1" customWidth="1"/>
    <col min="7" max="7" width="19.7109375" style="6" customWidth="1"/>
    <col min="8" max="8" width="19.42578125" style="6" customWidth="1"/>
    <col min="9" max="9" width="9.140625" style="861"/>
    <col min="10" max="10" width="10.85546875" style="6" bestFit="1" customWidth="1"/>
    <col min="11" max="16384" width="9.140625" style="6"/>
  </cols>
  <sheetData>
    <row r="1" spans="1:8" ht="15" customHeight="1" thickBot="1" x14ac:dyDescent="0.4">
      <c r="A1" s="26" t="s">
        <v>22</v>
      </c>
      <c r="B1" s="26"/>
      <c r="C1" s="2051" t="s">
        <v>567</v>
      </c>
      <c r="D1" s="2052"/>
      <c r="E1" s="2052"/>
      <c r="F1" s="2052"/>
      <c r="G1" s="2052"/>
      <c r="H1" s="2053"/>
    </row>
    <row r="2" spans="1:8" ht="2.25" hidden="1" customHeight="1" thickBot="1" x14ac:dyDescent="0.4">
      <c r="A2" s="26"/>
      <c r="B2" s="26"/>
      <c r="C2" s="145"/>
      <c r="D2" s="1799"/>
      <c r="E2" s="1800"/>
      <c r="F2" s="102"/>
      <c r="G2" s="1801"/>
      <c r="H2" s="146"/>
    </row>
    <row r="3" spans="1:8" ht="18" customHeight="1" thickBot="1" x14ac:dyDescent="0.3">
      <c r="A3" s="17"/>
      <c r="C3" s="92"/>
      <c r="D3" s="1439" t="s">
        <v>5</v>
      </c>
      <c r="E3" s="93"/>
      <c r="F3" s="92"/>
      <c r="G3" s="1439" t="s">
        <v>106</v>
      </c>
      <c r="H3" s="93"/>
    </row>
    <row r="4" spans="1:8" ht="3" customHeight="1" x14ac:dyDescent="0.25">
      <c r="A4" s="17"/>
      <c r="C4" s="96"/>
      <c r="D4" s="97"/>
      <c r="E4" s="98"/>
      <c r="F4" s="369"/>
      <c r="G4" s="97"/>
      <c r="H4" s="593"/>
    </row>
    <row r="5" spans="1:8" ht="15.75" customHeight="1" thickBot="1" x14ac:dyDescent="0.3">
      <c r="A5" s="17"/>
      <c r="C5" s="1106"/>
      <c r="D5" s="1105" t="s">
        <v>358</v>
      </c>
      <c r="E5" s="1798" t="s">
        <v>646</v>
      </c>
      <c r="F5" s="580"/>
      <c r="G5" s="1802" t="s">
        <v>358</v>
      </c>
      <c r="H5" s="978" t="s">
        <v>646</v>
      </c>
    </row>
    <row r="6" spans="1:8" ht="15" customHeight="1" x14ac:dyDescent="0.25">
      <c r="A6" s="17"/>
      <c r="C6" s="351" t="s">
        <v>528</v>
      </c>
      <c r="D6" s="1803">
        <v>160000000</v>
      </c>
      <c r="E6" s="1803">
        <v>160000000</v>
      </c>
      <c r="F6" s="1107" t="s">
        <v>500</v>
      </c>
      <c r="G6" s="1108">
        <v>3500000</v>
      </c>
      <c r="H6" s="1804">
        <v>3500000</v>
      </c>
    </row>
    <row r="7" spans="1:8" ht="15" customHeight="1" x14ac:dyDescent="0.25">
      <c r="A7" s="17"/>
      <c r="C7" s="371" t="s">
        <v>606</v>
      </c>
      <c r="D7" s="1803">
        <v>958215</v>
      </c>
      <c r="E7" s="1803">
        <v>958215</v>
      </c>
      <c r="F7" s="1109" t="s">
        <v>501</v>
      </c>
      <c r="G7" s="1805">
        <v>2000000</v>
      </c>
      <c r="H7" s="1806">
        <v>2000000</v>
      </c>
    </row>
    <row r="8" spans="1:8" ht="15" customHeight="1" x14ac:dyDescent="0.25">
      <c r="A8" s="17"/>
      <c r="C8" s="371" t="s">
        <v>626</v>
      </c>
      <c r="D8" s="1803">
        <v>958215</v>
      </c>
      <c r="E8" s="1803">
        <v>958215</v>
      </c>
      <c r="F8" s="1097" t="s">
        <v>523</v>
      </c>
      <c r="G8" s="1807">
        <v>384101433</v>
      </c>
      <c r="H8" s="1808">
        <f>384101433-77089976</f>
        <v>307011457</v>
      </c>
    </row>
    <row r="9" spans="1:8" ht="15" customHeight="1" x14ac:dyDescent="0.25">
      <c r="A9" s="17"/>
      <c r="C9" s="371" t="s">
        <v>607</v>
      </c>
      <c r="D9" s="1809">
        <f>217055+300000</f>
        <v>517055</v>
      </c>
      <c r="E9" s="1809">
        <f>217055+300000</f>
        <v>517055</v>
      </c>
      <c r="F9" s="1097" t="s">
        <v>143</v>
      </c>
      <c r="G9" s="1805">
        <v>2000000</v>
      </c>
      <c r="H9" s="1806">
        <v>2000000</v>
      </c>
    </row>
    <row r="10" spans="1:8" ht="15" customHeight="1" x14ac:dyDescent="0.25">
      <c r="A10" s="17"/>
      <c r="C10" s="370" t="s">
        <v>527</v>
      </c>
      <c r="D10" s="1803">
        <v>20000000</v>
      </c>
      <c r="E10" s="1803">
        <v>20000000</v>
      </c>
      <c r="F10" s="1097" t="s">
        <v>310</v>
      </c>
      <c r="G10" s="1807">
        <v>4000000</v>
      </c>
      <c r="H10" s="1808">
        <v>4000000</v>
      </c>
    </row>
    <row r="11" spans="1:8" ht="15" customHeight="1" x14ac:dyDescent="0.25">
      <c r="A11" s="17"/>
      <c r="C11" s="371" t="s">
        <v>519</v>
      </c>
      <c r="D11" s="1809">
        <v>1500000</v>
      </c>
      <c r="E11" s="1809">
        <v>1500000</v>
      </c>
      <c r="F11" s="1097" t="s">
        <v>432</v>
      </c>
      <c r="G11" s="1807">
        <v>6000000</v>
      </c>
      <c r="H11" s="1808">
        <v>6000000</v>
      </c>
    </row>
    <row r="12" spans="1:8" ht="15" customHeight="1" x14ac:dyDescent="0.25">
      <c r="A12" s="17"/>
      <c r="C12" s="370" t="s">
        <v>608</v>
      </c>
      <c r="D12" s="1803">
        <v>700000</v>
      </c>
      <c r="E12" s="1803">
        <v>700000</v>
      </c>
      <c r="F12" s="1819" t="s">
        <v>614</v>
      </c>
      <c r="G12" s="1807">
        <v>3000000</v>
      </c>
      <c r="H12" s="1808">
        <v>3000000</v>
      </c>
    </row>
    <row r="13" spans="1:8" ht="15" customHeight="1" x14ac:dyDescent="0.25">
      <c r="A13" s="17"/>
      <c r="C13" s="1098" t="s">
        <v>502</v>
      </c>
      <c r="D13" s="1121">
        <v>29022126</v>
      </c>
      <c r="E13" s="1121">
        <v>29022126</v>
      </c>
      <c r="F13" s="1097" t="s">
        <v>531</v>
      </c>
      <c r="G13" s="1807">
        <v>40000000</v>
      </c>
      <c r="H13" s="1808">
        <v>40000000</v>
      </c>
    </row>
    <row r="14" spans="1:8" ht="15" customHeight="1" x14ac:dyDescent="0.25">
      <c r="A14" s="17"/>
      <c r="C14" s="1099" t="s">
        <v>613</v>
      </c>
      <c r="D14" s="1121">
        <v>5000000</v>
      </c>
      <c r="E14" s="1121">
        <v>5000000</v>
      </c>
      <c r="F14" s="1097" t="s">
        <v>476</v>
      </c>
      <c r="G14" s="1807">
        <v>500000</v>
      </c>
      <c r="H14" s="1808">
        <v>500000</v>
      </c>
    </row>
    <row r="15" spans="1:8" ht="15" customHeight="1" x14ac:dyDescent="0.25">
      <c r="A15" s="17"/>
      <c r="C15" s="1098" t="s">
        <v>543</v>
      </c>
      <c r="D15" s="1121">
        <v>2000000</v>
      </c>
      <c r="E15" s="1121">
        <v>2000000</v>
      </c>
      <c r="F15" s="1097" t="s">
        <v>536</v>
      </c>
      <c r="G15" s="1807">
        <f>1425000+7000000</f>
        <v>8425000</v>
      </c>
      <c r="H15" s="1808">
        <f>1425000+7000000</f>
        <v>8425000</v>
      </c>
    </row>
    <row r="16" spans="1:8" ht="15" customHeight="1" x14ac:dyDescent="0.25">
      <c r="A16" s="17"/>
      <c r="C16" s="1098" t="s">
        <v>544</v>
      </c>
      <c r="D16" s="1811">
        <v>1500000</v>
      </c>
      <c r="E16" s="1811">
        <v>1500000</v>
      </c>
      <c r="F16" s="1097" t="s">
        <v>477</v>
      </c>
      <c r="G16" s="1807">
        <f>SUM(G17:G18)</f>
        <v>300000</v>
      </c>
      <c r="H16" s="1808">
        <f>SUM(H17:H18)</f>
        <v>300000</v>
      </c>
    </row>
    <row r="17" spans="1:8" ht="15" customHeight="1" x14ac:dyDescent="0.25">
      <c r="A17" s="17"/>
      <c r="C17" s="1098" t="s">
        <v>609</v>
      </c>
      <c r="D17" s="1121">
        <v>600000</v>
      </c>
      <c r="E17" s="1121">
        <v>600000</v>
      </c>
      <c r="F17" s="1110" t="s">
        <v>498</v>
      </c>
      <c r="G17" s="1812">
        <v>100000</v>
      </c>
      <c r="H17" s="1813">
        <v>100000</v>
      </c>
    </row>
    <row r="18" spans="1:8" ht="15" customHeight="1" x14ac:dyDescent="0.25">
      <c r="A18" s="17"/>
      <c r="C18" s="1099" t="s">
        <v>611</v>
      </c>
      <c r="D18" s="1811">
        <v>1500000</v>
      </c>
      <c r="E18" s="1811">
        <v>1500000</v>
      </c>
      <c r="F18" s="1111" t="s">
        <v>499</v>
      </c>
      <c r="G18" s="1814">
        <v>200000</v>
      </c>
      <c r="H18" s="1815">
        <v>200000</v>
      </c>
    </row>
    <row r="19" spans="1:8" ht="15" customHeight="1" x14ac:dyDescent="0.25">
      <c r="A19" s="17"/>
      <c r="B19" s="1089"/>
      <c r="C19" s="1098" t="s">
        <v>618</v>
      </c>
      <c r="D19" s="1121">
        <v>1302360</v>
      </c>
      <c r="E19" s="1121">
        <v>1302360</v>
      </c>
      <c r="F19" s="1109" t="s">
        <v>615</v>
      </c>
      <c r="G19" s="1805">
        <v>15000000</v>
      </c>
      <c r="H19" s="1806">
        <v>15000000</v>
      </c>
    </row>
    <row r="20" spans="1:8" ht="29.25" customHeight="1" x14ac:dyDescent="0.25">
      <c r="A20" s="17"/>
      <c r="C20" s="1099" t="s">
        <v>634</v>
      </c>
      <c r="D20" s="1121">
        <v>12528941</v>
      </c>
      <c r="E20" s="1121">
        <v>12528941</v>
      </c>
      <c r="F20" s="1097" t="s">
        <v>516</v>
      </c>
      <c r="G20" s="1805">
        <v>21000000</v>
      </c>
      <c r="H20" s="1806">
        <v>21000000</v>
      </c>
    </row>
    <row r="21" spans="1:8" ht="15" customHeight="1" x14ac:dyDescent="0.25">
      <c r="A21" s="17"/>
      <c r="C21" s="1098"/>
      <c r="D21" s="1121"/>
      <c r="E21" s="577"/>
      <c r="F21" s="1097" t="s">
        <v>517</v>
      </c>
      <c r="G21" s="1805">
        <v>35000000</v>
      </c>
      <c r="H21" s="1806">
        <v>35000000</v>
      </c>
    </row>
    <row r="22" spans="1:8" ht="15" customHeight="1" x14ac:dyDescent="0.25">
      <c r="A22" s="17"/>
      <c r="C22" s="1098"/>
      <c r="D22" s="1811"/>
      <c r="E22" s="578"/>
      <c r="F22" s="1097" t="s">
        <v>617</v>
      </c>
      <c r="G22" s="1805">
        <v>5000000</v>
      </c>
      <c r="H22" s="1806">
        <v>5000000</v>
      </c>
    </row>
    <row r="23" spans="1:8" ht="15" customHeight="1" x14ac:dyDescent="0.25">
      <c r="A23" s="17"/>
      <c r="C23" s="1099"/>
      <c r="D23" s="1811"/>
      <c r="E23" s="578"/>
      <c r="F23" s="1097" t="s">
        <v>529</v>
      </c>
      <c r="G23" s="1805">
        <v>20000000</v>
      </c>
      <c r="H23" s="1806">
        <v>20000000</v>
      </c>
    </row>
    <row r="24" spans="1:8" ht="15" customHeight="1" x14ac:dyDescent="0.25">
      <c r="A24" s="17"/>
      <c r="C24" s="1099"/>
      <c r="D24" s="1805"/>
      <c r="E24" s="578"/>
      <c r="F24" s="1097" t="s">
        <v>520</v>
      </c>
      <c r="G24" s="1805">
        <v>4050000</v>
      </c>
      <c r="H24" s="1806">
        <v>4050000</v>
      </c>
    </row>
    <row r="25" spans="1:8" ht="15" customHeight="1" x14ac:dyDescent="0.25">
      <c r="A25" s="17"/>
      <c r="C25" s="1099"/>
      <c r="D25" s="1805"/>
      <c r="E25" s="577"/>
      <c r="F25" s="1097" t="s">
        <v>521</v>
      </c>
      <c r="G25" s="1805">
        <v>2000000</v>
      </c>
      <c r="H25" s="1806">
        <v>2000000</v>
      </c>
    </row>
    <row r="26" spans="1:8" ht="15" customHeight="1" x14ac:dyDescent="0.25">
      <c r="A26" s="17"/>
      <c r="C26" s="1098"/>
      <c r="D26" s="1805"/>
      <c r="E26" s="577"/>
      <c r="F26" s="1097" t="s">
        <v>524</v>
      </c>
      <c r="G26" s="1805">
        <v>400000</v>
      </c>
      <c r="H26" s="1806">
        <v>400000</v>
      </c>
    </row>
    <row r="27" spans="1:8" ht="15" customHeight="1" x14ac:dyDescent="0.25">
      <c r="A27" s="17"/>
      <c r="C27" s="1098"/>
      <c r="D27" s="1816"/>
      <c r="E27" s="434"/>
      <c r="F27" s="1810" t="s">
        <v>537</v>
      </c>
      <c r="G27" s="1810">
        <v>118414825</v>
      </c>
      <c r="H27" s="1817">
        <v>118414825</v>
      </c>
    </row>
    <row r="28" spans="1:8" ht="15" customHeight="1" x14ac:dyDescent="0.25">
      <c r="A28" s="17"/>
      <c r="C28" s="1098"/>
      <c r="D28" s="1816"/>
      <c r="E28" s="434"/>
      <c r="F28" s="1810" t="s">
        <v>538</v>
      </c>
      <c r="G28" s="1810">
        <v>3000000</v>
      </c>
      <c r="H28" s="1817">
        <v>3000000</v>
      </c>
    </row>
    <row r="29" spans="1:8" ht="15" customHeight="1" x14ac:dyDescent="0.25">
      <c r="A29" s="17"/>
      <c r="C29" s="370"/>
      <c r="D29" s="1818"/>
      <c r="E29" s="434"/>
      <c r="F29" s="1097" t="s">
        <v>539</v>
      </c>
      <c r="G29" s="1805">
        <v>15000000</v>
      </c>
      <c r="H29" s="1806">
        <v>15000000</v>
      </c>
    </row>
    <row r="30" spans="1:8" ht="15" customHeight="1" x14ac:dyDescent="0.25">
      <c r="A30" s="17"/>
      <c r="C30" s="370"/>
      <c r="D30" s="1818"/>
      <c r="E30" s="434"/>
      <c r="F30" s="1097" t="s">
        <v>540</v>
      </c>
      <c r="G30" s="1805">
        <v>7000000</v>
      </c>
      <c r="H30" s="1806">
        <v>7000000</v>
      </c>
    </row>
    <row r="31" spans="1:8" ht="15" customHeight="1" x14ac:dyDescent="0.25">
      <c r="A31" s="17"/>
      <c r="C31" s="370"/>
      <c r="D31" s="1818"/>
      <c r="E31" s="434"/>
      <c r="F31" s="1097" t="s">
        <v>541</v>
      </c>
      <c r="G31" s="1805">
        <v>500000</v>
      </c>
      <c r="H31" s="1806">
        <v>500000</v>
      </c>
    </row>
    <row r="32" spans="1:8" ht="15" customHeight="1" x14ac:dyDescent="0.25">
      <c r="A32" s="17"/>
      <c r="C32" s="370"/>
      <c r="D32" s="1818"/>
      <c r="E32" s="434"/>
      <c r="F32" s="1097" t="s">
        <v>542</v>
      </c>
      <c r="G32" s="1805">
        <v>1000000</v>
      </c>
      <c r="H32" s="1806">
        <v>1000000</v>
      </c>
    </row>
    <row r="33" spans="1:8" ht="15" customHeight="1" x14ac:dyDescent="0.25">
      <c r="A33" s="17"/>
      <c r="C33" s="370"/>
      <c r="D33" s="1818"/>
      <c r="E33" s="434"/>
      <c r="F33" s="1097" t="s">
        <v>545</v>
      </c>
      <c r="G33" s="1805">
        <v>1500000</v>
      </c>
      <c r="H33" s="1806">
        <v>1500000</v>
      </c>
    </row>
    <row r="34" spans="1:8" ht="15" customHeight="1" x14ac:dyDescent="0.25">
      <c r="A34" s="17"/>
      <c r="C34" s="370"/>
      <c r="D34" s="1818"/>
      <c r="E34" s="434"/>
      <c r="F34" s="1097" t="s">
        <v>546</v>
      </c>
      <c r="G34" s="1805">
        <v>500000</v>
      </c>
      <c r="H34" s="1806">
        <v>500000</v>
      </c>
    </row>
    <row r="35" spans="1:8" ht="15" customHeight="1" x14ac:dyDescent="0.25">
      <c r="A35" s="17"/>
      <c r="C35" s="370"/>
      <c r="D35" s="1818"/>
      <c r="E35" s="434"/>
      <c r="F35" s="1097" t="s">
        <v>588</v>
      </c>
      <c r="G35" s="1805">
        <v>7620000</v>
      </c>
      <c r="H35" s="1806">
        <v>7620000</v>
      </c>
    </row>
    <row r="36" spans="1:8" ht="15" customHeight="1" x14ac:dyDescent="0.25">
      <c r="A36" s="17"/>
      <c r="C36" s="370"/>
      <c r="D36" s="1818"/>
      <c r="E36" s="434"/>
      <c r="F36" s="1097" t="s">
        <v>610</v>
      </c>
      <c r="G36" s="1805">
        <v>300000</v>
      </c>
      <c r="H36" s="1806">
        <v>300000</v>
      </c>
    </row>
    <row r="37" spans="1:8" ht="15" customHeight="1" x14ac:dyDescent="0.25">
      <c r="A37" s="17"/>
      <c r="C37" s="370"/>
      <c r="D37" s="1818"/>
      <c r="E37" s="434"/>
      <c r="F37" s="1097" t="s">
        <v>612</v>
      </c>
      <c r="G37" s="1805">
        <v>3000000</v>
      </c>
      <c r="H37" s="1806">
        <v>3000000</v>
      </c>
    </row>
    <row r="38" spans="1:8" ht="15" customHeight="1" x14ac:dyDescent="0.25">
      <c r="A38" s="17"/>
      <c r="C38" s="370"/>
      <c r="D38" s="1818"/>
      <c r="E38" s="434"/>
      <c r="F38" s="1810" t="s">
        <v>616</v>
      </c>
      <c r="G38" s="1805">
        <v>20000000</v>
      </c>
      <c r="H38" s="1806">
        <v>20000000</v>
      </c>
    </row>
    <row r="39" spans="1:8" ht="15" customHeight="1" x14ac:dyDescent="0.25">
      <c r="A39" s="17"/>
      <c r="C39" s="370"/>
      <c r="D39" s="1818"/>
      <c r="E39" s="434"/>
      <c r="F39" s="1810" t="s">
        <v>620</v>
      </c>
      <c r="G39" s="1810">
        <v>375545</v>
      </c>
      <c r="H39" s="1817">
        <v>375545</v>
      </c>
    </row>
    <row r="40" spans="1:8" ht="15" customHeight="1" x14ac:dyDescent="0.25">
      <c r="A40" s="17"/>
      <c r="C40" s="370"/>
      <c r="D40" s="1818"/>
      <c r="E40" s="434"/>
      <c r="F40" s="1810" t="s">
        <v>619</v>
      </c>
      <c r="G40" s="1810">
        <v>737711</v>
      </c>
      <c r="H40" s="1817">
        <v>737711</v>
      </c>
    </row>
    <row r="41" spans="1:8" ht="15" customHeight="1" x14ac:dyDescent="0.25">
      <c r="A41" s="17"/>
      <c r="C41" s="370"/>
      <c r="D41" s="1818"/>
      <c r="E41" s="434"/>
      <c r="F41" s="1810" t="s">
        <v>625</v>
      </c>
      <c r="G41" s="1810">
        <f>4*362800</f>
        <v>1451200</v>
      </c>
      <c r="H41" s="1817">
        <f>4*362800</f>
        <v>1451200</v>
      </c>
    </row>
    <row r="42" spans="1:8" ht="15" customHeight="1" x14ac:dyDescent="0.25">
      <c r="A42" s="17"/>
      <c r="C42" s="370"/>
      <c r="D42" s="1818"/>
      <c r="E42" s="434"/>
      <c r="F42" s="1810" t="s">
        <v>632</v>
      </c>
      <c r="G42" s="1810">
        <v>4400000</v>
      </c>
      <c r="H42" s="1817">
        <v>4400000</v>
      </c>
    </row>
    <row r="43" spans="1:8" ht="15" customHeight="1" x14ac:dyDescent="0.25">
      <c r="A43" s="17"/>
      <c r="C43" s="370"/>
      <c r="D43" s="1818"/>
      <c r="E43" s="434"/>
      <c r="F43" s="1097" t="s">
        <v>633</v>
      </c>
      <c r="G43" s="1805">
        <v>1000000</v>
      </c>
      <c r="H43" s="1806">
        <v>1000000</v>
      </c>
    </row>
    <row r="44" spans="1:8" ht="15" customHeight="1" x14ac:dyDescent="0.25">
      <c r="A44" s="17"/>
      <c r="C44" s="370"/>
      <c r="D44" s="1818"/>
      <c r="E44" s="434"/>
      <c r="F44" s="1810" t="s">
        <v>645</v>
      </c>
      <c r="G44" s="1810">
        <v>950000</v>
      </c>
      <c r="H44" s="1817">
        <v>950000</v>
      </c>
    </row>
    <row r="45" spans="1:8" ht="15" customHeight="1" x14ac:dyDescent="0.25">
      <c r="A45" s="17"/>
      <c r="C45" s="370"/>
      <c r="D45" s="1818"/>
      <c r="E45" s="434"/>
      <c r="F45" s="1810"/>
      <c r="G45" s="1810"/>
      <c r="H45" s="577"/>
    </row>
    <row r="46" spans="1:8" ht="15" customHeight="1" x14ac:dyDescent="0.25">
      <c r="A46" s="17"/>
      <c r="C46" s="370"/>
      <c r="D46" s="1818"/>
      <c r="E46" s="434"/>
      <c r="F46" s="1810"/>
      <c r="G46" s="1810"/>
      <c r="H46" s="577"/>
    </row>
    <row r="47" spans="1:8" ht="15" customHeight="1" x14ac:dyDescent="0.25">
      <c r="A47" s="17"/>
      <c r="C47" s="370"/>
      <c r="D47" s="1818"/>
      <c r="E47" s="434"/>
      <c r="F47" s="1097"/>
      <c r="G47" s="1805"/>
      <c r="H47" s="577"/>
    </row>
    <row r="48" spans="1:8" ht="15" customHeight="1" x14ac:dyDescent="0.25">
      <c r="A48" s="17"/>
      <c r="C48" s="370"/>
      <c r="D48" s="1818"/>
      <c r="E48" s="434"/>
      <c r="F48" s="1097"/>
      <c r="G48" s="1805"/>
      <c r="H48" s="577"/>
    </row>
    <row r="49" spans="1:10" ht="15" customHeight="1" x14ac:dyDescent="0.25">
      <c r="A49" s="17"/>
      <c r="C49" s="370"/>
      <c r="D49" s="1818"/>
      <c r="E49" s="434"/>
      <c r="F49" s="1810"/>
      <c r="G49" s="1810"/>
      <c r="H49" s="577"/>
    </row>
    <row r="50" spans="1:10" ht="15" customHeight="1" x14ac:dyDescent="0.25">
      <c r="A50" s="17"/>
      <c r="C50" s="370"/>
      <c r="D50" s="1818"/>
      <c r="E50" s="434"/>
      <c r="F50" s="1810"/>
      <c r="G50" s="1810"/>
      <c r="H50" s="577"/>
    </row>
    <row r="51" spans="1:10" ht="15" customHeight="1" x14ac:dyDescent="0.25">
      <c r="A51" s="17"/>
      <c r="C51" s="370"/>
      <c r="D51" s="1818"/>
      <c r="E51" s="434"/>
      <c r="F51" s="1810"/>
      <c r="G51" s="1810"/>
      <c r="H51" s="577"/>
      <c r="J51" s="1122"/>
    </row>
    <row r="52" spans="1:10" ht="15" customHeight="1" x14ac:dyDescent="0.25">
      <c r="A52" s="17"/>
      <c r="C52" s="370"/>
      <c r="D52" s="1818"/>
      <c r="E52" s="434"/>
      <c r="F52" s="1810"/>
      <c r="G52" s="1810"/>
      <c r="H52" s="577"/>
    </row>
    <row r="53" spans="1:10" ht="15" customHeight="1" x14ac:dyDescent="0.25">
      <c r="A53" s="17"/>
      <c r="C53" s="370"/>
      <c r="D53" s="1818"/>
      <c r="E53" s="434"/>
      <c r="F53" s="1810"/>
      <c r="G53" s="1810"/>
      <c r="H53" s="577"/>
    </row>
    <row r="54" spans="1:10" ht="15" customHeight="1" thickBot="1" x14ac:dyDescent="0.3">
      <c r="A54" s="17"/>
      <c r="C54" s="382"/>
      <c r="D54" s="856"/>
      <c r="E54" s="435"/>
      <c r="F54" s="1109"/>
      <c r="G54" s="1112"/>
      <c r="H54" s="581"/>
    </row>
    <row r="55" spans="1:10" ht="15" customHeight="1" thickBot="1" x14ac:dyDescent="0.3">
      <c r="A55" s="594"/>
      <c r="B55" s="594"/>
      <c r="C55" s="479" t="s">
        <v>0</v>
      </c>
      <c r="D55" s="857">
        <f>SUM(D6:D20)</f>
        <v>238086912</v>
      </c>
      <c r="E55" s="185">
        <f>SUM(E6:E27)</f>
        <v>238086912</v>
      </c>
      <c r="F55" s="322"/>
      <c r="G55" s="858">
        <f>SUM(G6:G54)-G17-G18</f>
        <v>743025714</v>
      </c>
      <c r="H55" s="184">
        <f>SUM(H6:H54)-H17-H18</f>
        <v>665935738</v>
      </c>
    </row>
    <row r="56" spans="1:10" ht="14.45" customHeight="1" thickBot="1" x14ac:dyDescent="0.35">
      <c r="A56" s="6"/>
      <c r="B56" s="6"/>
      <c r="C56" s="322"/>
      <c r="D56" s="188" t="s">
        <v>393</v>
      </c>
      <c r="E56" s="185"/>
      <c r="F56" s="344"/>
      <c r="G56" s="859">
        <f>SUM(G55+D55)</f>
        <v>981112626</v>
      </c>
      <c r="H56" s="184"/>
    </row>
    <row r="57" spans="1:10" ht="15" hidden="1" customHeight="1" thickBot="1" x14ac:dyDescent="0.3">
      <c r="A57" s="6"/>
      <c r="B57" s="6"/>
      <c r="C57" s="94"/>
      <c r="D57" s="188" t="s">
        <v>392</v>
      </c>
      <c r="E57" s="579"/>
      <c r="F57" s="323"/>
      <c r="G57" s="189"/>
      <c r="H57" s="185">
        <f>SUM(E55+H55)</f>
        <v>904022650</v>
      </c>
    </row>
    <row r="58" spans="1:10" ht="0.6" customHeight="1" thickBot="1" x14ac:dyDescent="0.3">
      <c r="A58" s="6"/>
      <c r="B58" s="6"/>
      <c r="C58" s="94"/>
      <c r="D58" s="188" t="s">
        <v>419</v>
      </c>
      <c r="E58" s="579"/>
      <c r="F58" s="323"/>
      <c r="G58" s="189"/>
      <c r="H58" s="185"/>
    </row>
    <row r="59" spans="1:10" ht="15" customHeight="1" x14ac:dyDescent="0.25">
      <c r="A59" s="6"/>
      <c r="B59" s="6"/>
      <c r="C59" s="90" t="s">
        <v>180</v>
      </c>
      <c r="D59" s="90"/>
      <c r="E59" s="95"/>
      <c r="F59" s="90"/>
      <c r="G59" s="90"/>
      <c r="H59" s="90"/>
    </row>
    <row r="60" spans="1:10" ht="15.95" customHeight="1" x14ac:dyDescent="0.25">
      <c r="A60" s="6"/>
      <c r="B60" s="6"/>
      <c r="C60" s="87"/>
      <c r="D60" s="85"/>
      <c r="E60" s="88"/>
      <c r="F60" s="87"/>
      <c r="G60" s="87"/>
      <c r="H60" s="87"/>
    </row>
    <row r="61" spans="1:10" ht="15.95" customHeight="1" x14ac:dyDescent="0.25">
      <c r="A61" s="6"/>
      <c r="B61" s="6"/>
      <c r="C61" s="592"/>
      <c r="D61" s="191"/>
      <c r="E61" s="979"/>
      <c r="F61" s="6"/>
    </row>
    <row r="62" spans="1:10" s="980" customFormat="1" x14ac:dyDescent="0.25">
      <c r="A62" s="18" t="s">
        <v>6</v>
      </c>
      <c r="B62" s="18"/>
      <c r="C62" s="410"/>
      <c r="D62" s="190"/>
      <c r="E62" s="6"/>
      <c r="F62" s="1"/>
      <c r="G62" s="6"/>
      <c r="H62" s="6"/>
      <c r="I62" s="861"/>
    </row>
    <row r="63" spans="1:10" x14ac:dyDescent="0.25">
      <c r="A63" s="6"/>
      <c r="B63" s="6"/>
      <c r="C63" s="410"/>
      <c r="D63" s="190"/>
      <c r="E63" s="426"/>
      <c r="F63" s="6"/>
    </row>
    <row r="64" spans="1:10" x14ac:dyDescent="0.25">
      <c r="C64" s="410"/>
      <c r="D64" s="190"/>
    </row>
    <row r="65" spans="1:3" x14ac:dyDescent="0.25">
      <c r="A65" s="5"/>
      <c r="B65" s="5"/>
      <c r="C65" s="5"/>
    </row>
    <row r="66" spans="1:3" x14ac:dyDescent="0.25">
      <c r="A66" s="7"/>
      <c r="B66" s="7"/>
      <c r="C66" s="7"/>
    </row>
    <row r="67" spans="1:3" x14ac:dyDescent="0.25">
      <c r="A67" s="7"/>
      <c r="B67" s="7"/>
      <c r="C67" s="7"/>
    </row>
    <row r="68" spans="1:3" x14ac:dyDescent="0.25">
      <c r="A68" s="7"/>
      <c r="B68" s="7"/>
      <c r="C68" s="7"/>
    </row>
    <row r="69" spans="1:3" x14ac:dyDescent="0.25">
      <c r="A69" s="7"/>
      <c r="B69" s="7"/>
      <c r="C69" s="7"/>
    </row>
    <row r="70" spans="1:3" x14ac:dyDescent="0.25">
      <c r="A70" s="7"/>
      <c r="B70" s="7"/>
      <c r="C70" s="7"/>
    </row>
    <row r="71" spans="1:3" x14ac:dyDescent="0.25">
      <c r="A71" s="7"/>
      <c r="B71" s="7"/>
      <c r="C71" s="7"/>
    </row>
    <row r="72" spans="1:3" x14ac:dyDescent="0.25">
      <c r="A72" s="7"/>
      <c r="B72" s="7"/>
      <c r="C72" s="7"/>
    </row>
    <row r="73" spans="1:3" x14ac:dyDescent="0.25">
      <c r="A73" s="7"/>
      <c r="B73" s="7"/>
      <c r="C73" s="7"/>
    </row>
    <row r="74" spans="1:3" x14ac:dyDescent="0.25">
      <c r="A74" s="7"/>
      <c r="B74" s="7"/>
      <c r="C74" s="7"/>
    </row>
    <row r="75" spans="1:3" x14ac:dyDescent="0.25">
      <c r="A75" s="7"/>
      <c r="B75" s="7"/>
      <c r="C75" s="7"/>
    </row>
    <row r="76" spans="1:3" x14ac:dyDescent="0.25">
      <c r="A76" s="7"/>
      <c r="B76" s="7"/>
      <c r="C76" s="7"/>
    </row>
    <row r="77" spans="1:3" x14ac:dyDescent="0.25">
      <c r="A77" s="7"/>
      <c r="B77" s="7"/>
      <c r="C77" s="7"/>
    </row>
    <row r="78" spans="1:3" x14ac:dyDescent="0.25">
      <c r="A78" s="7"/>
      <c r="B78" s="7"/>
      <c r="C78" s="7"/>
    </row>
    <row r="79" spans="1:3" x14ac:dyDescent="0.25">
      <c r="A79" s="7"/>
      <c r="B79" s="7"/>
      <c r="C79" s="7"/>
    </row>
    <row r="80" spans="1:3" x14ac:dyDescent="0.25">
      <c r="A80" s="7"/>
      <c r="B80" s="7"/>
      <c r="C80" s="7"/>
    </row>
    <row r="81" spans="1:9" x14ac:dyDescent="0.25">
      <c r="A81" s="7"/>
      <c r="B81" s="7"/>
      <c r="C81" s="7"/>
    </row>
    <row r="82" spans="1:9" x14ac:dyDescent="0.25">
      <c r="A82" s="7"/>
      <c r="B82" s="7"/>
      <c r="C82" s="7"/>
    </row>
    <row r="83" spans="1:9" x14ac:dyDescent="0.25">
      <c r="A83" s="7"/>
      <c r="B83" s="7"/>
      <c r="C83" s="7"/>
    </row>
    <row r="84" spans="1:9" x14ac:dyDescent="0.25">
      <c r="A84" s="6"/>
      <c r="B84" s="6"/>
      <c r="C84" s="6"/>
    </row>
    <row r="85" spans="1:9" ht="12" customHeight="1" x14ac:dyDescent="0.25">
      <c r="A85" s="1"/>
      <c r="B85" s="1"/>
      <c r="C85" s="1"/>
    </row>
    <row r="86" spans="1:9" x14ac:dyDescent="0.25">
      <c r="A86" s="17"/>
    </row>
    <row r="87" spans="1:9" x14ac:dyDescent="0.25">
      <c r="A87" s="17"/>
    </row>
    <row r="88" spans="1:9" x14ac:dyDescent="0.25">
      <c r="A88" s="17"/>
    </row>
    <row r="89" spans="1:9" s="2" customFormat="1" x14ac:dyDescent="0.25">
      <c r="A89" s="18"/>
      <c r="B89" s="18"/>
      <c r="C89" s="18"/>
      <c r="D89" s="6"/>
      <c r="E89" s="6"/>
      <c r="F89" s="1"/>
      <c r="G89" s="6"/>
      <c r="H89" s="6"/>
      <c r="I89" s="861"/>
    </row>
    <row r="90" spans="1:9" x14ac:dyDescent="0.25">
      <c r="A90" s="17"/>
    </row>
    <row r="91" spans="1:9" x14ac:dyDescent="0.25">
      <c r="A91" s="6"/>
      <c r="B91" s="6"/>
      <c r="C91" s="6"/>
    </row>
    <row r="92" spans="1:9" x14ac:dyDescent="0.25">
      <c r="A92" s="6"/>
      <c r="B92" s="6"/>
      <c r="C92" s="6"/>
    </row>
    <row r="93" spans="1:9" x14ac:dyDescent="0.25">
      <c r="A93" s="6"/>
      <c r="B93" s="6"/>
      <c r="C93" s="6"/>
    </row>
    <row r="94" spans="1:9" x14ac:dyDescent="0.25">
      <c r="A94" s="6"/>
      <c r="B94" s="6"/>
      <c r="C94" s="6"/>
    </row>
    <row r="95" spans="1:9" x14ac:dyDescent="0.25">
      <c r="A95" s="6"/>
      <c r="B95" s="6"/>
      <c r="C95" s="6"/>
    </row>
    <row r="96" spans="1:9" x14ac:dyDescent="0.25">
      <c r="A96" s="17"/>
    </row>
    <row r="97" spans="1:6" x14ac:dyDescent="0.25">
      <c r="A97" s="17"/>
    </row>
    <row r="98" spans="1:6" x14ac:dyDescent="0.25">
      <c r="A98" s="17"/>
    </row>
    <row r="99" spans="1:6" x14ac:dyDescent="0.25">
      <c r="A99" s="17"/>
    </row>
    <row r="100" spans="1:6" x14ac:dyDescent="0.25">
      <c r="A100" s="17"/>
    </row>
    <row r="101" spans="1:6" x14ac:dyDescent="0.25">
      <c r="A101" s="17"/>
    </row>
    <row r="102" spans="1:6" x14ac:dyDescent="0.25">
      <c r="A102" s="17"/>
    </row>
    <row r="103" spans="1:6" x14ac:dyDescent="0.25">
      <c r="A103" s="17"/>
    </row>
    <row r="104" spans="1:6" x14ac:dyDescent="0.25">
      <c r="A104" s="596"/>
    </row>
    <row r="105" spans="1:6" x14ac:dyDescent="0.25">
      <c r="A105" s="596"/>
    </row>
    <row r="106" spans="1:6" x14ac:dyDescent="0.25">
      <c r="A106" s="596"/>
    </row>
    <row r="107" spans="1:6" x14ac:dyDescent="0.25">
      <c r="A107" s="596"/>
    </row>
    <row r="108" spans="1:6" x14ac:dyDescent="0.25">
      <c r="A108" s="596"/>
    </row>
    <row r="109" spans="1:6" x14ac:dyDescent="0.25">
      <c r="A109" s="596"/>
    </row>
    <row r="110" spans="1:6" x14ac:dyDescent="0.25">
      <c r="A110" s="596"/>
      <c r="F110" s="6"/>
    </row>
    <row r="111" spans="1:6" x14ac:dyDescent="0.25">
      <c r="A111" s="596"/>
      <c r="F111" s="6"/>
    </row>
    <row r="112" spans="1:6" x14ac:dyDescent="0.25">
      <c r="A112" s="596"/>
      <c r="F112" s="6"/>
    </row>
    <row r="113" spans="1:6" x14ac:dyDescent="0.25">
      <c r="A113" s="596"/>
      <c r="F113" s="6"/>
    </row>
    <row r="114" spans="1:6" x14ac:dyDescent="0.25">
      <c r="A114" s="596"/>
      <c r="F114" s="6"/>
    </row>
    <row r="115" spans="1:6" x14ac:dyDescent="0.25">
      <c r="A115" s="596"/>
      <c r="F115" s="6"/>
    </row>
    <row r="116" spans="1:6" x14ac:dyDescent="0.25">
      <c r="A116" s="596"/>
      <c r="F116" s="6"/>
    </row>
    <row r="117" spans="1:6" x14ac:dyDescent="0.25">
      <c r="A117" s="596"/>
      <c r="F117" s="6"/>
    </row>
    <row r="118" spans="1:6" x14ac:dyDescent="0.25">
      <c r="A118" s="596"/>
      <c r="F118" s="6"/>
    </row>
    <row r="119" spans="1:6" x14ac:dyDescent="0.25">
      <c r="A119" s="596"/>
      <c r="F119" s="6"/>
    </row>
    <row r="120" spans="1:6" x14ac:dyDescent="0.25">
      <c r="A120" s="596"/>
      <c r="F120" s="6"/>
    </row>
    <row r="121" spans="1:6" x14ac:dyDescent="0.25">
      <c r="A121" s="596"/>
      <c r="F121" s="6"/>
    </row>
    <row r="122" spans="1:6" x14ac:dyDescent="0.25">
      <c r="A122" s="596"/>
      <c r="F122" s="6"/>
    </row>
    <row r="123" spans="1:6" x14ac:dyDescent="0.25">
      <c r="A123" s="596"/>
      <c r="F123" s="6"/>
    </row>
    <row r="124" spans="1:6" x14ac:dyDescent="0.25">
      <c r="A124" s="596"/>
      <c r="F124" s="6"/>
    </row>
    <row r="125" spans="1:6" x14ac:dyDescent="0.25">
      <c r="A125" s="596"/>
      <c r="F125" s="6"/>
    </row>
    <row r="126" spans="1:6" x14ac:dyDescent="0.25">
      <c r="A126" s="596"/>
      <c r="F126" s="6"/>
    </row>
    <row r="127" spans="1:6" x14ac:dyDescent="0.25">
      <c r="A127" s="596"/>
      <c r="F127" s="6"/>
    </row>
    <row r="128" spans="1:6" x14ac:dyDescent="0.25">
      <c r="A128" s="596"/>
      <c r="F128" s="6"/>
    </row>
    <row r="129" spans="1:6" x14ac:dyDescent="0.25">
      <c r="A129" s="596"/>
      <c r="F129" s="6"/>
    </row>
    <row r="130" spans="1:6" x14ac:dyDescent="0.25">
      <c r="A130" s="596"/>
      <c r="F130" s="6"/>
    </row>
    <row r="131" spans="1:6" x14ac:dyDescent="0.25">
      <c r="A131" s="596"/>
      <c r="F131" s="6"/>
    </row>
    <row r="132" spans="1:6" x14ac:dyDescent="0.25">
      <c r="A132" s="596"/>
      <c r="F132" s="6"/>
    </row>
    <row r="133" spans="1:6" x14ac:dyDescent="0.25">
      <c r="A133" s="596"/>
      <c r="F133" s="6"/>
    </row>
    <row r="134" spans="1:6" x14ac:dyDescent="0.25">
      <c r="A134" s="596"/>
      <c r="F134" s="6"/>
    </row>
    <row r="135" spans="1:6" x14ac:dyDescent="0.25">
      <c r="A135" s="596"/>
      <c r="F135" s="6"/>
    </row>
    <row r="136" spans="1:6" x14ac:dyDescent="0.25">
      <c r="A136" s="596"/>
      <c r="F136" s="6"/>
    </row>
    <row r="137" spans="1:6" x14ac:dyDescent="0.25">
      <c r="A137" s="597"/>
      <c r="F137" s="6"/>
    </row>
    <row r="138" spans="1:6" x14ac:dyDescent="0.25">
      <c r="A138" s="597"/>
      <c r="F138" s="6"/>
    </row>
    <row r="139" spans="1:6" x14ac:dyDescent="0.25">
      <c r="A139" s="597"/>
      <c r="F139" s="6"/>
    </row>
    <row r="140" spans="1:6" x14ac:dyDescent="0.25">
      <c r="F140" s="6"/>
    </row>
    <row r="141" spans="1:6" x14ac:dyDescent="0.25">
      <c r="F141" s="6"/>
    </row>
    <row r="142" spans="1:6" x14ac:dyDescent="0.25">
      <c r="A142" s="6"/>
      <c r="B142" s="6"/>
      <c r="C142" s="6"/>
      <c r="F142" s="6"/>
    </row>
    <row r="143" spans="1:6" x14ac:dyDescent="0.25">
      <c r="A143" s="6"/>
      <c r="B143" s="6"/>
      <c r="C143" s="6"/>
      <c r="F143" s="6"/>
    </row>
    <row r="144" spans="1:6" x14ac:dyDescent="0.25">
      <c r="A144" s="6"/>
      <c r="B144" s="6"/>
      <c r="C144" s="6"/>
      <c r="F144" s="6"/>
    </row>
    <row r="145" spans="1:6" x14ac:dyDescent="0.25">
      <c r="A145" s="6"/>
      <c r="B145" s="6"/>
      <c r="C145" s="6"/>
      <c r="F145" s="6"/>
    </row>
    <row r="146" spans="1:6" x14ac:dyDescent="0.25">
      <c r="A146" s="6"/>
      <c r="B146" s="6"/>
      <c r="C146" s="6"/>
      <c r="F146" s="6"/>
    </row>
    <row r="147" spans="1:6" x14ac:dyDescent="0.25">
      <c r="A147" s="6"/>
      <c r="B147" s="6"/>
      <c r="C147" s="6"/>
      <c r="F147" s="6"/>
    </row>
    <row r="148" spans="1:6" x14ac:dyDescent="0.25">
      <c r="A148" s="6"/>
      <c r="B148" s="6"/>
      <c r="C148" s="6"/>
      <c r="F148" s="6"/>
    </row>
  </sheetData>
  <mergeCells count="1">
    <mergeCell ref="C1:H1"/>
  </mergeCells>
  <phoneticPr fontId="3" type="noConversion"/>
  <printOptions horizontalCentered="1"/>
  <pageMargins left="0.7" right="0.7" top="0.75" bottom="0.75" header="0.3" footer="0.3"/>
  <pageSetup paperSize="9" scale="61" orientation="landscape" r:id="rId1"/>
  <headerFooter alignWithMargins="0">
    <oddHeader>&amp;A</oddHeader>
    <oddFooter>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3">
    <pageSetUpPr fitToPage="1"/>
  </sheetPr>
  <dimension ref="A1:G467"/>
  <sheetViews>
    <sheetView topLeftCell="A44" workbookViewId="0">
      <selection sqref="A1:C48"/>
    </sheetView>
  </sheetViews>
  <sheetFormatPr defaultRowHeight="12.75" x14ac:dyDescent="0.2"/>
  <cols>
    <col min="1" max="1" width="74" customWidth="1"/>
    <col min="2" max="2" width="18.28515625" customWidth="1"/>
    <col min="3" max="3" width="23.85546875" customWidth="1"/>
    <col min="5" max="5" width="10" bestFit="1" customWidth="1"/>
    <col min="6" max="7" width="10.85546875" bestFit="1" customWidth="1"/>
  </cols>
  <sheetData>
    <row r="1" spans="1:6" ht="31.5" customHeight="1" thickBot="1" x14ac:dyDescent="0.3">
      <c r="A1" s="2054" t="s">
        <v>558</v>
      </c>
      <c r="B1" s="2055"/>
      <c r="C1" s="2056"/>
    </row>
    <row r="2" spans="1:6" s="25" customFormat="1" ht="0.75" customHeight="1" x14ac:dyDescent="0.25">
      <c r="A2" s="147"/>
      <c r="B2" s="148"/>
      <c r="C2" s="1820"/>
    </row>
    <row r="3" spans="1:6" ht="0.75" customHeight="1" thickBot="1" x14ac:dyDescent="0.3">
      <c r="A3" s="149"/>
      <c r="B3" s="150"/>
      <c r="C3" s="1495"/>
    </row>
    <row r="4" spans="1:6" ht="29.25" customHeight="1" x14ac:dyDescent="0.25">
      <c r="A4" s="149"/>
      <c r="B4" s="1836" t="s">
        <v>349</v>
      </c>
      <c r="C4" s="340" t="s">
        <v>354</v>
      </c>
    </row>
    <row r="5" spans="1:6" ht="15" customHeight="1" x14ac:dyDescent="0.25">
      <c r="A5" s="151" t="s">
        <v>333</v>
      </c>
      <c r="B5" s="845">
        <f>SUM(B8:B36)</f>
        <v>120158383</v>
      </c>
      <c r="C5" s="1821">
        <f>SUM(C8:C36)</f>
        <v>120158383</v>
      </c>
    </row>
    <row r="6" spans="1:6" ht="0.75" customHeight="1" x14ac:dyDescent="0.25">
      <c r="A6" s="149"/>
      <c r="B6" s="846"/>
      <c r="C6" s="1822"/>
    </row>
    <row r="7" spans="1:6" ht="0.75" customHeight="1" thickBot="1" x14ac:dyDescent="0.3">
      <c r="A7" s="149"/>
      <c r="B7" s="846"/>
      <c r="C7" s="1822"/>
    </row>
    <row r="8" spans="1:6" ht="15" customHeight="1" x14ac:dyDescent="0.25">
      <c r="A8" s="372" t="s">
        <v>334</v>
      </c>
      <c r="B8" s="991">
        <v>840000</v>
      </c>
      <c r="C8" s="1823">
        <v>840000</v>
      </c>
    </row>
    <row r="9" spans="1:6" ht="15" customHeight="1" x14ac:dyDescent="0.25">
      <c r="A9" s="373" t="s">
        <v>335</v>
      </c>
      <c r="B9" s="847">
        <v>23746000</v>
      </c>
      <c r="C9" s="1824">
        <v>23746000</v>
      </c>
      <c r="D9" s="6"/>
    </row>
    <row r="10" spans="1:6" ht="15" customHeight="1" x14ac:dyDescent="0.25">
      <c r="A10" s="373" t="s">
        <v>510</v>
      </c>
      <c r="B10" s="847">
        <v>22079000</v>
      </c>
      <c r="C10" s="1824">
        <v>22079000</v>
      </c>
      <c r="D10" s="6"/>
    </row>
    <row r="11" spans="1:6" ht="15" customHeight="1" x14ac:dyDescent="0.25">
      <c r="A11" s="373" t="s">
        <v>534</v>
      </c>
      <c r="B11" s="847">
        <v>300000</v>
      </c>
      <c r="C11" s="1824">
        <v>300000</v>
      </c>
      <c r="D11" s="6"/>
    </row>
    <row r="12" spans="1:6" ht="15" customHeight="1" x14ac:dyDescent="0.25">
      <c r="A12" s="373" t="s">
        <v>336</v>
      </c>
      <c r="B12" s="847">
        <v>1500000</v>
      </c>
      <c r="C12" s="1824">
        <v>1500000</v>
      </c>
      <c r="E12" s="6"/>
      <c r="F12" s="6"/>
    </row>
    <row r="13" spans="1:6" ht="15" customHeight="1" x14ac:dyDescent="0.25">
      <c r="A13" s="373" t="s">
        <v>28</v>
      </c>
      <c r="B13" s="847">
        <v>1200000</v>
      </c>
      <c r="C13" s="1824">
        <v>1200000</v>
      </c>
    </row>
    <row r="14" spans="1:6" ht="15" customHeight="1" x14ac:dyDescent="0.25">
      <c r="A14" s="373" t="s">
        <v>29</v>
      </c>
      <c r="B14" s="847">
        <f>19869000+161000+4</f>
        <v>20030004</v>
      </c>
      <c r="C14" s="1824">
        <f>19869000+161000+4</f>
        <v>20030004</v>
      </c>
    </row>
    <row r="15" spans="1:6" ht="15.75" x14ac:dyDescent="0.25">
      <c r="A15" s="374" t="s">
        <v>127</v>
      </c>
      <c r="B15" s="847">
        <v>900000</v>
      </c>
      <c r="C15" s="1824">
        <v>900000</v>
      </c>
    </row>
    <row r="16" spans="1:6" ht="15.75" x14ac:dyDescent="0.25">
      <c r="A16" s="374" t="s">
        <v>204</v>
      </c>
      <c r="B16" s="847">
        <f>13561000+349000</f>
        <v>13910000</v>
      </c>
      <c r="C16" s="1824">
        <f>13561000+349000</f>
        <v>13910000</v>
      </c>
      <c r="D16" s="6"/>
    </row>
    <row r="17" spans="1:6" s="1093" customFormat="1" ht="15.75" x14ac:dyDescent="0.25">
      <c r="A17" s="374" t="s">
        <v>553</v>
      </c>
      <c r="B17" s="847">
        <v>9303226</v>
      </c>
      <c r="C17" s="1824">
        <v>9303226</v>
      </c>
      <c r="D17" s="6"/>
    </row>
    <row r="18" spans="1:6" s="1093" customFormat="1" ht="15.75" x14ac:dyDescent="0.25">
      <c r="A18" s="374" t="s">
        <v>554</v>
      </c>
      <c r="B18" s="847">
        <v>19963153</v>
      </c>
      <c r="C18" s="1824">
        <v>19963153</v>
      </c>
      <c r="D18" s="6"/>
    </row>
    <row r="19" spans="1:6" ht="15.75" x14ac:dyDescent="0.25">
      <c r="A19" s="374" t="s">
        <v>338</v>
      </c>
      <c r="B19" s="847">
        <v>300000</v>
      </c>
      <c r="C19" s="1824">
        <v>300000</v>
      </c>
    </row>
    <row r="20" spans="1:6" ht="31.5" x14ac:dyDescent="0.25">
      <c r="A20" s="375" t="s">
        <v>434</v>
      </c>
      <c r="B20" s="847">
        <v>300000</v>
      </c>
      <c r="C20" s="1824">
        <v>300000</v>
      </c>
    </row>
    <row r="21" spans="1:6" ht="15.75" x14ac:dyDescent="0.25">
      <c r="A21" s="375" t="s">
        <v>433</v>
      </c>
      <c r="B21" s="847">
        <v>250000</v>
      </c>
      <c r="C21" s="1824">
        <v>250000</v>
      </c>
    </row>
    <row r="22" spans="1:6" ht="15.75" x14ac:dyDescent="0.25">
      <c r="A22" s="583" t="s">
        <v>526</v>
      </c>
      <c r="B22" s="992">
        <v>50000</v>
      </c>
      <c r="C22" s="1825">
        <v>50000</v>
      </c>
    </row>
    <row r="23" spans="1:6" ht="15.75" x14ac:dyDescent="0.25">
      <c r="A23" s="583" t="s">
        <v>449</v>
      </c>
      <c r="B23" s="992">
        <v>737000</v>
      </c>
      <c r="C23" s="1825">
        <v>737000</v>
      </c>
    </row>
    <row r="24" spans="1:6" ht="15.75" x14ac:dyDescent="0.25">
      <c r="A24" s="583" t="s">
        <v>461</v>
      </c>
      <c r="B24" s="847">
        <v>500000</v>
      </c>
      <c r="C24" s="1824">
        <v>500000</v>
      </c>
    </row>
    <row r="25" spans="1:6" ht="15.75" x14ac:dyDescent="0.25">
      <c r="A25" s="375" t="s">
        <v>463</v>
      </c>
      <c r="B25" s="847">
        <v>360000</v>
      </c>
      <c r="C25" s="1824">
        <v>360000</v>
      </c>
    </row>
    <row r="26" spans="1:6" ht="15.75" x14ac:dyDescent="0.25">
      <c r="A26" s="583" t="s">
        <v>506</v>
      </c>
      <c r="B26" s="1114">
        <v>1000000</v>
      </c>
      <c r="C26" s="1826">
        <v>1000000</v>
      </c>
      <c r="F26" s="631">
        <f>SUM(B8:B36)</f>
        <v>120158383</v>
      </c>
    </row>
    <row r="27" spans="1:6" ht="15.75" x14ac:dyDescent="0.25">
      <c r="A27" s="583" t="s">
        <v>513</v>
      </c>
      <c r="B27" s="993">
        <v>200000</v>
      </c>
      <c r="C27" s="1825">
        <v>200000</v>
      </c>
    </row>
    <row r="28" spans="1:6" ht="15.75" x14ac:dyDescent="0.25">
      <c r="A28" s="583" t="s">
        <v>487</v>
      </c>
      <c r="B28" s="993">
        <v>310000</v>
      </c>
      <c r="C28" s="1825">
        <v>310000</v>
      </c>
    </row>
    <row r="29" spans="1:6" ht="15.75" x14ac:dyDescent="0.25">
      <c r="A29" s="583" t="s">
        <v>530</v>
      </c>
      <c r="B29" s="993">
        <v>1000000</v>
      </c>
      <c r="C29" s="1825">
        <v>1000000</v>
      </c>
    </row>
    <row r="30" spans="1:6" ht="15.75" x14ac:dyDescent="0.25">
      <c r="A30" s="375" t="s">
        <v>505</v>
      </c>
      <c r="B30" s="1102">
        <v>50000</v>
      </c>
      <c r="C30" s="1824">
        <v>50000</v>
      </c>
    </row>
    <row r="31" spans="1:6" s="1093" customFormat="1" ht="15.75" x14ac:dyDescent="0.25">
      <c r="A31" s="375" t="s">
        <v>548</v>
      </c>
      <c r="B31" s="1102">
        <v>100000</v>
      </c>
      <c r="C31" s="1824">
        <v>100000</v>
      </c>
    </row>
    <row r="32" spans="1:6" s="1093" customFormat="1" ht="31.5" x14ac:dyDescent="0.25">
      <c r="A32" s="375" t="s">
        <v>549</v>
      </c>
      <c r="B32" s="1102">
        <v>120000</v>
      </c>
      <c r="C32" s="1824">
        <v>120000</v>
      </c>
    </row>
    <row r="33" spans="1:7" s="1093" customFormat="1" ht="15.75" x14ac:dyDescent="0.25">
      <c r="A33" s="375" t="s">
        <v>550</v>
      </c>
      <c r="B33" s="1102">
        <v>50000</v>
      </c>
      <c r="C33" s="1824">
        <v>50000</v>
      </c>
    </row>
    <row r="34" spans="1:7" s="1093" customFormat="1" ht="15.75" x14ac:dyDescent="0.25">
      <c r="A34" s="375" t="s">
        <v>551</v>
      </c>
      <c r="B34" s="1102">
        <v>10000</v>
      </c>
      <c r="C34" s="1824">
        <v>10000</v>
      </c>
    </row>
    <row r="35" spans="1:7" s="1093" customFormat="1" ht="15.75" x14ac:dyDescent="0.25">
      <c r="A35" s="375" t="s">
        <v>552</v>
      </c>
      <c r="B35" s="1102">
        <v>50000</v>
      </c>
      <c r="C35" s="1824">
        <v>50000</v>
      </c>
    </row>
    <row r="36" spans="1:7" s="1096" customFormat="1" ht="15.75" x14ac:dyDescent="0.25">
      <c r="A36" s="1100" t="s">
        <v>621</v>
      </c>
      <c r="B36" s="1101">
        <v>1000000</v>
      </c>
      <c r="C36" s="1827">
        <v>1000000</v>
      </c>
    </row>
    <row r="37" spans="1:7" s="1093" customFormat="1" ht="15.75" x14ac:dyDescent="0.25">
      <c r="A37" s="1100"/>
      <c r="B37" s="1101"/>
      <c r="C37" s="1827"/>
    </row>
    <row r="38" spans="1:7" ht="15.75" x14ac:dyDescent="0.25">
      <c r="A38" s="1115" t="s">
        <v>337</v>
      </c>
      <c r="B38" s="1116">
        <f>SUM(B39:B39)</f>
        <v>3116897</v>
      </c>
      <c r="C38" s="1116">
        <f>SUM(C39:C39)</f>
        <v>3116897</v>
      </c>
    </row>
    <row r="39" spans="1:7" ht="15.75" x14ac:dyDescent="0.25">
      <c r="A39" s="1117" t="s">
        <v>468</v>
      </c>
      <c r="B39" s="1118">
        <f>SUM(B40:B41)</f>
        <v>3116897</v>
      </c>
      <c r="C39" s="1828">
        <f>SUM(C40:C41)</f>
        <v>3116897</v>
      </c>
    </row>
    <row r="40" spans="1:7" ht="15.75" x14ac:dyDescent="0.25">
      <c r="A40" s="1829" t="s">
        <v>469</v>
      </c>
      <c r="B40" s="1119">
        <v>1401324</v>
      </c>
      <c r="C40" s="1830">
        <v>1401324</v>
      </c>
    </row>
    <row r="41" spans="1:7" ht="16.5" thickBot="1" x14ac:dyDescent="0.3">
      <c r="A41" s="1831" t="s">
        <v>470</v>
      </c>
      <c r="B41" s="1120">
        <v>1715573</v>
      </c>
      <c r="C41" s="1832">
        <v>1715573</v>
      </c>
    </row>
    <row r="42" spans="1:7" ht="16.5" thickBot="1" x14ac:dyDescent="0.3">
      <c r="A42" s="849"/>
      <c r="B42" s="852"/>
      <c r="C42" s="1833"/>
    </row>
    <row r="43" spans="1:7" ht="32.25" thickBot="1" x14ac:dyDescent="0.3">
      <c r="A43" s="850" t="s">
        <v>496</v>
      </c>
      <c r="B43" s="854">
        <f>SUM(B44)</f>
        <v>0</v>
      </c>
      <c r="C43" s="854">
        <f>SUM(C44)</f>
        <v>0</v>
      </c>
    </row>
    <row r="44" spans="1:7" ht="15.75" x14ac:dyDescent="0.25">
      <c r="A44" s="855" t="s">
        <v>497</v>
      </c>
      <c r="B44" s="994"/>
      <c r="C44" s="994"/>
    </row>
    <row r="45" spans="1:7" ht="16.5" thickBot="1" x14ac:dyDescent="0.3">
      <c r="A45" s="851"/>
      <c r="B45" s="853"/>
      <c r="C45" s="853"/>
    </row>
    <row r="46" spans="1:7" ht="16.5" thickBot="1" x14ac:dyDescent="0.3">
      <c r="A46" s="398" t="s">
        <v>408</v>
      </c>
      <c r="B46" s="848">
        <f>SUM(B47)</f>
        <v>41964377</v>
      </c>
      <c r="C46" s="1834">
        <f>SUM(C47)</f>
        <v>41964377</v>
      </c>
      <c r="E46" s="195"/>
      <c r="F46" s="631"/>
      <c r="G46" s="631">
        <f>SUM(B5+B46)+B38</f>
        <v>165239657</v>
      </c>
    </row>
    <row r="47" spans="1:7" s="584" customFormat="1" ht="16.5" thickBot="1" x14ac:dyDescent="0.3">
      <c r="A47" s="587" t="s">
        <v>557</v>
      </c>
      <c r="B47" s="995">
        <v>41964377</v>
      </c>
      <c r="C47" s="1835">
        <v>41964377</v>
      </c>
    </row>
    <row r="48" spans="1:7" ht="15.75" x14ac:dyDescent="0.25">
      <c r="B48" s="10"/>
      <c r="D48" s="195"/>
    </row>
    <row r="49" spans="2:2" ht="15.75" x14ac:dyDescent="0.25">
      <c r="B49" s="10"/>
    </row>
    <row r="50" spans="2:2" ht="15.75" x14ac:dyDescent="0.25">
      <c r="B50" s="10"/>
    </row>
    <row r="51" spans="2:2" ht="15.75" x14ac:dyDescent="0.25">
      <c r="B51" s="10"/>
    </row>
    <row r="52" spans="2:2" ht="15.75" x14ac:dyDescent="0.25">
      <c r="B52" s="10"/>
    </row>
    <row r="53" spans="2:2" ht="15.75" x14ac:dyDescent="0.25">
      <c r="B53" s="10"/>
    </row>
    <row r="54" spans="2:2" ht="15.75" x14ac:dyDescent="0.25">
      <c r="B54" s="10"/>
    </row>
    <row r="55" spans="2:2" ht="15.75" x14ac:dyDescent="0.25">
      <c r="B55" s="10"/>
    </row>
    <row r="56" spans="2:2" ht="15.75" x14ac:dyDescent="0.25">
      <c r="B56" s="10"/>
    </row>
    <row r="57" spans="2:2" ht="15.75" x14ac:dyDescent="0.25">
      <c r="B57" s="10"/>
    </row>
    <row r="58" spans="2:2" ht="15.75" x14ac:dyDescent="0.25">
      <c r="B58" s="10"/>
    </row>
    <row r="59" spans="2:2" ht="15.75" x14ac:dyDescent="0.25">
      <c r="B59" s="10"/>
    </row>
    <row r="60" spans="2:2" ht="15.75" x14ac:dyDescent="0.25">
      <c r="B60" s="10"/>
    </row>
    <row r="61" spans="2:2" ht="15.75" x14ac:dyDescent="0.25">
      <c r="B61" s="10"/>
    </row>
    <row r="62" spans="2:2" ht="15.75" x14ac:dyDescent="0.25">
      <c r="B62" s="10"/>
    </row>
    <row r="63" spans="2:2" ht="15.75" x14ac:dyDescent="0.25">
      <c r="B63" s="10"/>
    </row>
    <row r="64" spans="2:2" ht="15.75" x14ac:dyDescent="0.25">
      <c r="B64" s="10"/>
    </row>
    <row r="65" spans="2:2" ht="15.75" x14ac:dyDescent="0.25">
      <c r="B65" s="10"/>
    </row>
    <row r="66" spans="2:2" ht="15.75" x14ac:dyDescent="0.25">
      <c r="B66" s="10"/>
    </row>
    <row r="67" spans="2:2" ht="15.75" x14ac:dyDescent="0.25">
      <c r="B67" s="10"/>
    </row>
    <row r="68" spans="2:2" ht="15.75" x14ac:dyDescent="0.25">
      <c r="B68" s="10"/>
    </row>
    <row r="69" spans="2:2" ht="15.75" x14ac:dyDescent="0.25">
      <c r="B69" s="10"/>
    </row>
    <row r="70" spans="2:2" ht="15.75" x14ac:dyDescent="0.25">
      <c r="B70" s="10"/>
    </row>
    <row r="71" spans="2:2" ht="15.75" x14ac:dyDescent="0.25">
      <c r="B71" s="10"/>
    </row>
    <row r="72" spans="2:2" ht="15.75" x14ac:dyDescent="0.25">
      <c r="B72" s="10"/>
    </row>
    <row r="73" spans="2:2" ht="15.75" x14ac:dyDescent="0.25">
      <c r="B73" s="10"/>
    </row>
    <row r="74" spans="2:2" ht="15.75" x14ac:dyDescent="0.25">
      <c r="B74" s="10"/>
    </row>
    <row r="75" spans="2:2" ht="15.75" x14ac:dyDescent="0.25">
      <c r="B75" s="10"/>
    </row>
    <row r="76" spans="2:2" ht="15.75" x14ac:dyDescent="0.25">
      <c r="B76" s="10"/>
    </row>
    <row r="77" spans="2:2" ht="15.75" x14ac:dyDescent="0.25">
      <c r="B77" s="10"/>
    </row>
    <row r="78" spans="2:2" ht="15.75" x14ac:dyDescent="0.25">
      <c r="B78" s="10"/>
    </row>
    <row r="79" spans="2:2" ht="15.75" x14ac:dyDescent="0.25">
      <c r="B79" s="10"/>
    </row>
    <row r="80" spans="2:2" ht="15.75" x14ac:dyDescent="0.25">
      <c r="B80" s="10"/>
    </row>
    <row r="81" spans="2:2" ht="15.75" x14ac:dyDescent="0.25">
      <c r="B81" s="10"/>
    </row>
    <row r="82" spans="2:2" ht="15.75" x14ac:dyDescent="0.25">
      <c r="B82" s="10"/>
    </row>
    <row r="83" spans="2:2" ht="15.75" x14ac:dyDescent="0.25">
      <c r="B83" s="10"/>
    </row>
    <row r="84" spans="2:2" ht="15.75" x14ac:dyDescent="0.25">
      <c r="B84" s="10"/>
    </row>
    <row r="85" spans="2:2" ht="15.75" x14ac:dyDescent="0.25">
      <c r="B85" s="10"/>
    </row>
    <row r="86" spans="2:2" ht="15.75" x14ac:dyDescent="0.25">
      <c r="B86" s="10"/>
    </row>
    <row r="87" spans="2:2" ht="15.75" x14ac:dyDescent="0.25">
      <c r="B87" s="10"/>
    </row>
    <row r="88" spans="2:2" ht="15.75" x14ac:dyDescent="0.25">
      <c r="B88" s="10"/>
    </row>
    <row r="89" spans="2:2" ht="15.75" x14ac:dyDescent="0.25">
      <c r="B89" s="10"/>
    </row>
    <row r="90" spans="2:2" ht="15.75" x14ac:dyDescent="0.25">
      <c r="B90" s="10"/>
    </row>
    <row r="91" spans="2:2" ht="15.75" x14ac:dyDescent="0.25">
      <c r="B91" s="10"/>
    </row>
    <row r="92" spans="2:2" ht="15.75" x14ac:dyDescent="0.25">
      <c r="B92" s="10"/>
    </row>
    <row r="93" spans="2:2" ht="15.75" x14ac:dyDescent="0.25">
      <c r="B93" s="10"/>
    </row>
    <row r="94" spans="2:2" ht="15.75" x14ac:dyDescent="0.25">
      <c r="B94" s="10"/>
    </row>
    <row r="95" spans="2:2" ht="15.75" x14ac:dyDescent="0.25">
      <c r="B95" s="10"/>
    </row>
    <row r="96" spans="2:2" ht="15.75" x14ac:dyDescent="0.25">
      <c r="B96" s="10"/>
    </row>
    <row r="97" spans="2:2" ht="15.75" x14ac:dyDescent="0.25">
      <c r="B97" s="10"/>
    </row>
    <row r="98" spans="2:2" ht="15.75" x14ac:dyDescent="0.25">
      <c r="B98" s="10"/>
    </row>
    <row r="99" spans="2:2" ht="15.75" x14ac:dyDescent="0.25">
      <c r="B99" s="10"/>
    </row>
    <row r="100" spans="2:2" ht="15.75" x14ac:dyDescent="0.25">
      <c r="B100" s="10"/>
    </row>
    <row r="101" spans="2:2" ht="15.75" x14ac:dyDescent="0.25">
      <c r="B101" s="10"/>
    </row>
    <row r="102" spans="2:2" ht="15.75" x14ac:dyDescent="0.25">
      <c r="B102" s="10"/>
    </row>
    <row r="103" spans="2:2" ht="15.75" x14ac:dyDescent="0.25">
      <c r="B103" s="10"/>
    </row>
    <row r="104" spans="2:2" ht="15.75" x14ac:dyDescent="0.25">
      <c r="B104" s="10"/>
    </row>
    <row r="105" spans="2:2" ht="15.75" x14ac:dyDescent="0.25">
      <c r="B105" s="10"/>
    </row>
    <row r="106" spans="2:2" ht="15.75" x14ac:dyDescent="0.25">
      <c r="B106" s="10"/>
    </row>
    <row r="107" spans="2:2" ht="15.75" x14ac:dyDescent="0.25">
      <c r="B107" s="10"/>
    </row>
    <row r="108" spans="2:2" ht="15.75" x14ac:dyDescent="0.25">
      <c r="B108" s="10"/>
    </row>
    <row r="109" spans="2:2" ht="15.75" x14ac:dyDescent="0.25">
      <c r="B109" s="10"/>
    </row>
    <row r="110" spans="2:2" ht="15.75" x14ac:dyDescent="0.25">
      <c r="B110" s="10"/>
    </row>
    <row r="111" spans="2:2" ht="15.75" x14ac:dyDescent="0.25">
      <c r="B111" s="10"/>
    </row>
    <row r="112" spans="2:2" ht="15.75" x14ac:dyDescent="0.25">
      <c r="B112" s="10"/>
    </row>
    <row r="113" spans="2:2" ht="15.75" x14ac:dyDescent="0.25">
      <c r="B113" s="10"/>
    </row>
    <row r="114" spans="2:2" ht="15.75" x14ac:dyDescent="0.25">
      <c r="B114" s="10"/>
    </row>
    <row r="115" spans="2:2" ht="15.75" x14ac:dyDescent="0.25">
      <c r="B115" s="10"/>
    </row>
    <row r="116" spans="2:2" ht="15.75" x14ac:dyDescent="0.25">
      <c r="B116" s="10"/>
    </row>
    <row r="117" spans="2:2" ht="15.75" x14ac:dyDescent="0.25">
      <c r="B117" s="10"/>
    </row>
    <row r="118" spans="2:2" ht="15.75" x14ac:dyDescent="0.25">
      <c r="B118" s="10"/>
    </row>
    <row r="119" spans="2:2" ht="15.75" x14ac:dyDescent="0.25">
      <c r="B119" s="10"/>
    </row>
    <row r="120" spans="2:2" ht="15.75" x14ac:dyDescent="0.25">
      <c r="B120" s="10"/>
    </row>
    <row r="121" spans="2:2" ht="15.75" x14ac:dyDescent="0.25">
      <c r="B121" s="10"/>
    </row>
    <row r="122" spans="2:2" ht="15.75" x14ac:dyDescent="0.25">
      <c r="B122" s="10"/>
    </row>
    <row r="123" spans="2:2" ht="15.75" x14ac:dyDescent="0.25">
      <c r="B123" s="10"/>
    </row>
    <row r="124" spans="2:2" ht="15.75" x14ac:dyDescent="0.25">
      <c r="B124" s="10"/>
    </row>
    <row r="125" spans="2:2" ht="15.75" x14ac:dyDescent="0.25">
      <c r="B125" s="10"/>
    </row>
    <row r="126" spans="2:2" ht="15.75" x14ac:dyDescent="0.25">
      <c r="B126" s="10"/>
    </row>
    <row r="127" spans="2:2" ht="15.75" x14ac:dyDescent="0.25">
      <c r="B127" s="10"/>
    </row>
    <row r="128" spans="2:2" ht="15.75" x14ac:dyDescent="0.25">
      <c r="B128" s="10"/>
    </row>
    <row r="129" spans="2:2" ht="15.75" x14ac:dyDescent="0.25">
      <c r="B129" s="10"/>
    </row>
    <row r="130" spans="2:2" ht="15.75" x14ac:dyDescent="0.25">
      <c r="B130" s="10"/>
    </row>
    <row r="131" spans="2:2" ht="15.75" x14ac:dyDescent="0.25">
      <c r="B131" s="10"/>
    </row>
    <row r="132" spans="2:2" ht="15.75" x14ac:dyDescent="0.25">
      <c r="B132" s="10"/>
    </row>
    <row r="133" spans="2:2" ht="15.75" x14ac:dyDescent="0.25">
      <c r="B133" s="10"/>
    </row>
    <row r="134" spans="2:2" ht="15.75" x14ac:dyDescent="0.25">
      <c r="B134" s="10"/>
    </row>
    <row r="135" spans="2:2" ht="15.75" x14ac:dyDescent="0.25">
      <c r="B135" s="10"/>
    </row>
    <row r="136" spans="2:2" ht="15.75" x14ac:dyDescent="0.25">
      <c r="B136" s="10"/>
    </row>
    <row r="137" spans="2:2" ht="15.75" x14ac:dyDescent="0.25">
      <c r="B137" s="10"/>
    </row>
    <row r="138" spans="2:2" ht="15.75" x14ac:dyDescent="0.25">
      <c r="B138" s="10"/>
    </row>
    <row r="139" spans="2:2" ht="15.75" x14ac:dyDescent="0.25">
      <c r="B139" s="10"/>
    </row>
    <row r="140" spans="2:2" ht="15.75" x14ac:dyDescent="0.25">
      <c r="B140" s="10"/>
    </row>
    <row r="141" spans="2:2" ht="15.75" x14ac:dyDescent="0.25">
      <c r="B141" s="10"/>
    </row>
    <row r="142" spans="2:2" ht="15.75" x14ac:dyDescent="0.25">
      <c r="B142" s="10"/>
    </row>
    <row r="143" spans="2:2" ht="15.75" x14ac:dyDescent="0.25">
      <c r="B143" s="10"/>
    </row>
    <row r="144" spans="2:2" ht="15.75" x14ac:dyDescent="0.25">
      <c r="B144" s="10"/>
    </row>
    <row r="145" spans="2:2" ht="15.75" x14ac:dyDescent="0.25">
      <c r="B145" s="10"/>
    </row>
    <row r="146" spans="2:2" ht="15.75" x14ac:dyDescent="0.25">
      <c r="B146" s="10"/>
    </row>
    <row r="147" spans="2:2" ht="15.75" x14ac:dyDescent="0.25">
      <c r="B147" s="10"/>
    </row>
    <row r="148" spans="2:2" ht="15.75" x14ac:dyDescent="0.25">
      <c r="B148" s="10"/>
    </row>
    <row r="149" spans="2:2" ht="15.75" x14ac:dyDescent="0.25">
      <c r="B149" s="10"/>
    </row>
    <row r="150" spans="2:2" ht="15.75" x14ac:dyDescent="0.25">
      <c r="B150" s="10"/>
    </row>
    <row r="151" spans="2:2" ht="15.75" x14ac:dyDescent="0.25">
      <c r="B151" s="10"/>
    </row>
    <row r="152" spans="2:2" ht="15.75" x14ac:dyDescent="0.25">
      <c r="B152" s="10"/>
    </row>
    <row r="153" spans="2:2" ht="15.75" x14ac:dyDescent="0.25">
      <c r="B153" s="10"/>
    </row>
    <row r="154" spans="2:2" ht="15.75" x14ac:dyDescent="0.25">
      <c r="B154" s="10"/>
    </row>
    <row r="155" spans="2:2" ht="15.75" x14ac:dyDescent="0.25">
      <c r="B155" s="10"/>
    </row>
    <row r="156" spans="2:2" ht="15.75" x14ac:dyDescent="0.25">
      <c r="B156" s="10"/>
    </row>
    <row r="157" spans="2:2" ht="15.75" x14ac:dyDescent="0.25">
      <c r="B157" s="10"/>
    </row>
    <row r="158" spans="2:2" ht="15.75" x14ac:dyDescent="0.25">
      <c r="B158" s="10"/>
    </row>
    <row r="159" spans="2:2" ht="15.75" x14ac:dyDescent="0.25">
      <c r="B159" s="10"/>
    </row>
    <row r="160" spans="2:2" ht="15.75" x14ac:dyDescent="0.25">
      <c r="B160" s="10"/>
    </row>
    <row r="161" spans="2:2" ht="15.75" x14ac:dyDescent="0.25">
      <c r="B161" s="10"/>
    </row>
    <row r="162" spans="2:2" ht="15.75" x14ac:dyDescent="0.25">
      <c r="B162" s="10"/>
    </row>
    <row r="163" spans="2:2" ht="15.75" x14ac:dyDescent="0.25">
      <c r="B163" s="10"/>
    </row>
    <row r="164" spans="2:2" ht="15.75" x14ac:dyDescent="0.25">
      <c r="B164" s="10"/>
    </row>
    <row r="165" spans="2:2" ht="15.75" x14ac:dyDescent="0.25">
      <c r="B165" s="10"/>
    </row>
    <row r="166" spans="2:2" ht="15.75" x14ac:dyDescent="0.25">
      <c r="B166" s="10"/>
    </row>
    <row r="167" spans="2:2" ht="15.75" x14ac:dyDescent="0.25">
      <c r="B167" s="10"/>
    </row>
    <row r="168" spans="2:2" ht="15.75" x14ac:dyDescent="0.25">
      <c r="B168" s="10"/>
    </row>
    <row r="169" spans="2:2" ht="15.75" x14ac:dyDescent="0.25">
      <c r="B169" s="10"/>
    </row>
    <row r="170" spans="2:2" ht="15.75" x14ac:dyDescent="0.25">
      <c r="B170" s="10"/>
    </row>
    <row r="171" spans="2:2" ht="15.75" x14ac:dyDescent="0.25">
      <c r="B171" s="10"/>
    </row>
    <row r="172" spans="2:2" ht="15.75" x14ac:dyDescent="0.25">
      <c r="B172" s="10"/>
    </row>
    <row r="173" spans="2:2" ht="15.75" x14ac:dyDescent="0.25">
      <c r="B173" s="10"/>
    </row>
    <row r="174" spans="2:2" ht="15.75" x14ac:dyDescent="0.25">
      <c r="B174" s="10"/>
    </row>
    <row r="175" spans="2:2" ht="15.75" x14ac:dyDescent="0.25">
      <c r="B175" s="10"/>
    </row>
    <row r="176" spans="2:2" ht="15.75" x14ac:dyDescent="0.25">
      <c r="B176" s="10"/>
    </row>
    <row r="177" spans="2:2" ht="15.75" x14ac:dyDescent="0.25">
      <c r="B177" s="10"/>
    </row>
    <row r="178" spans="2:2" ht="15.75" x14ac:dyDescent="0.25">
      <c r="B178" s="10"/>
    </row>
    <row r="179" spans="2:2" ht="15.75" x14ac:dyDescent="0.25">
      <c r="B179" s="10"/>
    </row>
    <row r="180" spans="2:2" ht="15.75" x14ac:dyDescent="0.25">
      <c r="B180" s="10"/>
    </row>
    <row r="181" spans="2:2" ht="15.75" x14ac:dyDescent="0.25">
      <c r="B181" s="10"/>
    </row>
    <row r="182" spans="2:2" ht="15.75" x14ac:dyDescent="0.25">
      <c r="B182" s="10"/>
    </row>
    <row r="183" spans="2:2" ht="15.75" x14ac:dyDescent="0.25">
      <c r="B183" s="10"/>
    </row>
    <row r="184" spans="2:2" ht="15.75" x14ac:dyDescent="0.25">
      <c r="B184" s="10"/>
    </row>
    <row r="185" spans="2:2" ht="15.75" x14ac:dyDescent="0.25">
      <c r="B185" s="10"/>
    </row>
    <row r="186" spans="2:2" ht="15.75" x14ac:dyDescent="0.25">
      <c r="B186" s="10"/>
    </row>
    <row r="187" spans="2:2" ht="15.75" x14ac:dyDescent="0.25">
      <c r="B187" s="10"/>
    </row>
    <row r="188" spans="2:2" ht="15.75" x14ac:dyDescent="0.25">
      <c r="B188" s="10"/>
    </row>
    <row r="189" spans="2:2" ht="15.75" x14ac:dyDescent="0.25">
      <c r="B189" s="10"/>
    </row>
    <row r="190" spans="2:2" ht="15.75" x14ac:dyDescent="0.25">
      <c r="B190" s="10"/>
    </row>
    <row r="191" spans="2:2" ht="15.75" x14ac:dyDescent="0.25">
      <c r="B191" s="10"/>
    </row>
    <row r="192" spans="2:2" ht="15.75" x14ac:dyDescent="0.25">
      <c r="B192" s="10"/>
    </row>
    <row r="193" spans="2:2" ht="15.75" x14ac:dyDescent="0.25">
      <c r="B193" s="10"/>
    </row>
    <row r="194" spans="2:2" ht="15.75" x14ac:dyDescent="0.25">
      <c r="B194" s="10"/>
    </row>
    <row r="195" spans="2:2" ht="15.75" x14ac:dyDescent="0.25">
      <c r="B195" s="10"/>
    </row>
    <row r="196" spans="2:2" ht="15.75" x14ac:dyDescent="0.25">
      <c r="B196" s="10"/>
    </row>
    <row r="197" spans="2:2" ht="15.75" x14ac:dyDescent="0.25">
      <c r="B197" s="10"/>
    </row>
    <row r="198" spans="2:2" ht="15.75" x14ac:dyDescent="0.25">
      <c r="B198" s="10"/>
    </row>
    <row r="199" spans="2:2" ht="15.75" x14ac:dyDescent="0.25">
      <c r="B199" s="10"/>
    </row>
    <row r="200" spans="2:2" ht="15.75" x14ac:dyDescent="0.25">
      <c r="B200" s="10"/>
    </row>
    <row r="201" spans="2:2" ht="15.75" x14ac:dyDescent="0.25">
      <c r="B201" s="10"/>
    </row>
    <row r="202" spans="2:2" ht="15.75" x14ac:dyDescent="0.25">
      <c r="B202" s="10"/>
    </row>
    <row r="203" spans="2:2" ht="15.75" x14ac:dyDescent="0.25">
      <c r="B203" s="10"/>
    </row>
    <row r="204" spans="2:2" ht="15.75" x14ac:dyDescent="0.25">
      <c r="B204" s="10"/>
    </row>
    <row r="205" spans="2:2" ht="15.75" x14ac:dyDescent="0.25">
      <c r="B205" s="10"/>
    </row>
    <row r="206" spans="2:2" ht="15.75" x14ac:dyDescent="0.25">
      <c r="B206" s="10"/>
    </row>
    <row r="207" spans="2:2" ht="15.75" x14ac:dyDescent="0.25">
      <c r="B207" s="10"/>
    </row>
    <row r="208" spans="2:2" ht="15.75" x14ac:dyDescent="0.25">
      <c r="B208" s="10"/>
    </row>
    <row r="209" spans="2:2" ht="15.75" x14ac:dyDescent="0.25">
      <c r="B209" s="10"/>
    </row>
    <row r="210" spans="2:2" ht="15.75" x14ac:dyDescent="0.25">
      <c r="B210" s="10"/>
    </row>
    <row r="211" spans="2:2" ht="15.75" x14ac:dyDescent="0.25">
      <c r="B211" s="10"/>
    </row>
    <row r="212" spans="2:2" ht="15.75" x14ac:dyDescent="0.25">
      <c r="B212" s="10"/>
    </row>
    <row r="213" spans="2:2" ht="15.75" x14ac:dyDescent="0.25">
      <c r="B213" s="10"/>
    </row>
    <row r="214" spans="2:2" ht="15.75" x14ac:dyDescent="0.25">
      <c r="B214" s="10"/>
    </row>
    <row r="215" spans="2:2" ht="15.75" x14ac:dyDescent="0.25">
      <c r="B215" s="10"/>
    </row>
    <row r="216" spans="2:2" ht="15.75" x14ac:dyDescent="0.25">
      <c r="B216" s="10"/>
    </row>
    <row r="217" spans="2:2" ht="15.75" x14ac:dyDescent="0.25">
      <c r="B217" s="10"/>
    </row>
    <row r="218" spans="2:2" ht="15.75" x14ac:dyDescent="0.25">
      <c r="B218" s="10"/>
    </row>
    <row r="219" spans="2:2" ht="15.75" x14ac:dyDescent="0.25">
      <c r="B219" s="10"/>
    </row>
    <row r="220" spans="2:2" ht="15.75" x14ac:dyDescent="0.25">
      <c r="B220" s="10"/>
    </row>
    <row r="221" spans="2:2" ht="15.75" x14ac:dyDescent="0.25">
      <c r="B221" s="10"/>
    </row>
    <row r="222" spans="2:2" ht="15.75" x14ac:dyDescent="0.25">
      <c r="B222" s="10"/>
    </row>
    <row r="223" spans="2:2" ht="15.75" x14ac:dyDescent="0.25">
      <c r="B223" s="10"/>
    </row>
    <row r="224" spans="2:2" ht="15.75" x14ac:dyDescent="0.25">
      <c r="B224" s="10"/>
    </row>
    <row r="225" spans="2:2" ht="15.75" x14ac:dyDescent="0.25">
      <c r="B225" s="10"/>
    </row>
    <row r="226" spans="2:2" ht="15.75" x14ac:dyDescent="0.25">
      <c r="B226" s="10"/>
    </row>
    <row r="227" spans="2:2" ht="15.75" x14ac:dyDescent="0.25">
      <c r="B227" s="10"/>
    </row>
    <row r="228" spans="2:2" ht="15.75" x14ac:dyDescent="0.25">
      <c r="B228" s="10"/>
    </row>
    <row r="229" spans="2:2" ht="15.75" x14ac:dyDescent="0.25">
      <c r="B229" s="10"/>
    </row>
    <row r="230" spans="2:2" ht="15.75" x14ac:dyDescent="0.25">
      <c r="B230" s="10"/>
    </row>
    <row r="231" spans="2:2" ht="15.75" x14ac:dyDescent="0.25">
      <c r="B231" s="10"/>
    </row>
    <row r="232" spans="2:2" ht="15.75" x14ac:dyDescent="0.25">
      <c r="B232" s="10"/>
    </row>
    <row r="233" spans="2:2" ht="15.75" x14ac:dyDescent="0.25">
      <c r="B233" s="10"/>
    </row>
    <row r="234" spans="2:2" ht="15.75" x14ac:dyDescent="0.25">
      <c r="B234" s="10"/>
    </row>
    <row r="235" spans="2:2" ht="15.75" x14ac:dyDescent="0.25">
      <c r="B235" s="10"/>
    </row>
    <row r="236" spans="2:2" ht="15.75" x14ac:dyDescent="0.25">
      <c r="B236" s="10"/>
    </row>
    <row r="237" spans="2:2" ht="15.75" x14ac:dyDescent="0.25">
      <c r="B237" s="10"/>
    </row>
    <row r="238" spans="2:2" ht="15.75" x14ac:dyDescent="0.25">
      <c r="B238" s="10"/>
    </row>
    <row r="239" spans="2:2" ht="15.75" x14ac:dyDescent="0.25">
      <c r="B239" s="10"/>
    </row>
    <row r="240" spans="2:2" ht="15.75" x14ac:dyDescent="0.25">
      <c r="B240" s="10"/>
    </row>
    <row r="241" spans="2:2" ht="15.75" x14ac:dyDescent="0.25">
      <c r="B241" s="10"/>
    </row>
    <row r="242" spans="2:2" ht="15.75" x14ac:dyDescent="0.25">
      <c r="B242" s="10"/>
    </row>
    <row r="243" spans="2:2" ht="15.75" x14ac:dyDescent="0.25">
      <c r="B243" s="10"/>
    </row>
    <row r="244" spans="2:2" ht="15.75" x14ac:dyDescent="0.25">
      <c r="B244" s="10"/>
    </row>
    <row r="245" spans="2:2" ht="15.75" x14ac:dyDescent="0.25">
      <c r="B245" s="10"/>
    </row>
    <row r="246" spans="2:2" ht="15.75" x14ac:dyDescent="0.25">
      <c r="B246" s="10"/>
    </row>
    <row r="247" spans="2:2" ht="15.75" x14ac:dyDescent="0.25">
      <c r="B247" s="10"/>
    </row>
    <row r="248" spans="2:2" ht="15.75" x14ac:dyDescent="0.25">
      <c r="B248" s="10"/>
    </row>
    <row r="249" spans="2:2" ht="15.75" x14ac:dyDescent="0.25">
      <c r="B249" s="10"/>
    </row>
    <row r="250" spans="2:2" ht="15.75" x14ac:dyDescent="0.25">
      <c r="B250" s="10"/>
    </row>
    <row r="251" spans="2:2" ht="15.75" x14ac:dyDescent="0.25">
      <c r="B251" s="10"/>
    </row>
    <row r="252" spans="2:2" ht="15.75" x14ac:dyDescent="0.25">
      <c r="B252" s="10"/>
    </row>
    <row r="253" spans="2:2" ht="15.75" x14ac:dyDescent="0.25">
      <c r="B253" s="10"/>
    </row>
    <row r="254" spans="2:2" ht="15.75" x14ac:dyDescent="0.25">
      <c r="B254" s="10"/>
    </row>
    <row r="255" spans="2:2" ht="15.75" x14ac:dyDescent="0.25">
      <c r="B255" s="10"/>
    </row>
    <row r="256" spans="2:2" ht="15.75" x14ac:dyDescent="0.25">
      <c r="B256" s="10"/>
    </row>
    <row r="257" spans="2:2" ht="15.75" x14ac:dyDescent="0.25">
      <c r="B257" s="10"/>
    </row>
    <row r="258" spans="2:2" ht="15.75" x14ac:dyDescent="0.25">
      <c r="B258" s="10"/>
    </row>
    <row r="259" spans="2:2" ht="15.75" x14ac:dyDescent="0.25">
      <c r="B259" s="10"/>
    </row>
    <row r="260" spans="2:2" ht="15.75" x14ac:dyDescent="0.25">
      <c r="B260" s="10"/>
    </row>
    <row r="261" spans="2:2" ht="15.75" x14ac:dyDescent="0.25">
      <c r="B261" s="10"/>
    </row>
    <row r="262" spans="2:2" ht="15.75" x14ac:dyDescent="0.25">
      <c r="B262" s="10"/>
    </row>
    <row r="263" spans="2:2" ht="15.75" x14ac:dyDescent="0.25">
      <c r="B263" s="10"/>
    </row>
    <row r="264" spans="2:2" ht="15.75" x14ac:dyDescent="0.25">
      <c r="B264" s="10"/>
    </row>
    <row r="265" spans="2:2" ht="15.75" x14ac:dyDescent="0.25">
      <c r="B265" s="10"/>
    </row>
    <row r="266" spans="2:2" ht="15.75" x14ac:dyDescent="0.25">
      <c r="B266" s="10"/>
    </row>
    <row r="267" spans="2:2" ht="15.75" x14ac:dyDescent="0.25">
      <c r="B267" s="10"/>
    </row>
    <row r="268" spans="2:2" ht="15.75" x14ac:dyDescent="0.25">
      <c r="B268" s="10"/>
    </row>
    <row r="269" spans="2:2" ht="15.75" x14ac:dyDescent="0.25">
      <c r="B269" s="10"/>
    </row>
    <row r="270" spans="2:2" ht="15.75" x14ac:dyDescent="0.25">
      <c r="B270" s="10"/>
    </row>
    <row r="271" spans="2:2" ht="15.75" x14ac:dyDescent="0.25">
      <c r="B271" s="10"/>
    </row>
    <row r="272" spans="2:2" ht="15.75" x14ac:dyDescent="0.25">
      <c r="B272" s="10"/>
    </row>
    <row r="273" spans="2:2" ht="15.75" x14ac:dyDescent="0.25">
      <c r="B273" s="10"/>
    </row>
    <row r="274" spans="2:2" ht="15.75" x14ac:dyDescent="0.25">
      <c r="B274" s="10"/>
    </row>
    <row r="275" spans="2:2" ht="15.75" x14ac:dyDescent="0.25">
      <c r="B275" s="10"/>
    </row>
    <row r="276" spans="2:2" ht="15.75" x14ac:dyDescent="0.25">
      <c r="B276" s="10"/>
    </row>
    <row r="277" spans="2:2" ht="15.75" x14ac:dyDescent="0.25">
      <c r="B277" s="10"/>
    </row>
    <row r="278" spans="2:2" ht="15.75" x14ac:dyDescent="0.25">
      <c r="B278" s="10"/>
    </row>
    <row r="279" spans="2:2" ht="15.75" x14ac:dyDescent="0.25">
      <c r="B279" s="10"/>
    </row>
    <row r="280" spans="2:2" ht="15.75" x14ac:dyDescent="0.25">
      <c r="B280" s="10"/>
    </row>
    <row r="281" spans="2:2" ht="15.75" x14ac:dyDescent="0.25">
      <c r="B281" s="10"/>
    </row>
    <row r="282" spans="2:2" ht="15.75" x14ac:dyDescent="0.25">
      <c r="B282" s="10"/>
    </row>
    <row r="283" spans="2:2" ht="15.75" x14ac:dyDescent="0.25">
      <c r="B283" s="10"/>
    </row>
    <row r="284" spans="2:2" ht="15.75" x14ac:dyDescent="0.25">
      <c r="B284" s="10"/>
    </row>
    <row r="285" spans="2:2" ht="15.75" x14ac:dyDescent="0.25">
      <c r="B285" s="10"/>
    </row>
    <row r="286" spans="2:2" ht="15.75" x14ac:dyDescent="0.25">
      <c r="B286" s="10"/>
    </row>
    <row r="287" spans="2:2" ht="15.75" x14ac:dyDescent="0.25">
      <c r="B287" s="10"/>
    </row>
    <row r="288" spans="2:2" ht="15.75" x14ac:dyDescent="0.25">
      <c r="B288" s="10"/>
    </row>
    <row r="289" spans="2:2" ht="15.75" x14ac:dyDescent="0.25">
      <c r="B289" s="10"/>
    </row>
    <row r="290" spans="2:2" ht="15.75" x14ac:dyDescent="0.25">
      <c r="B290" s="10"/>
    </row>
    <row r="291" spans="2:2" ht="15.75" x14ac:dyDescent="0.25">
      <c r="B291" s="10"/>
    </row>
    <row r="292" spans="2:2" ht="15.75" x14ac:dyDescent="0.25">
      <c r="B292" s="10"/>
    </row>
    <row r="293" spans="2:2" ht="15.75" x14ac:dyDescent="0.25">
      <c r="B293" s="10"/>
    </row>
    <row r="294" spans="2:2" ht="15.75" x14ac:dyDescent="0.25">
      <c r="B294" s="10"/>
    </row>
    <row r="295" spans="2:2" ht="15.75" x14ac:dyDescent="0.25">
      <c r="B295" s="10"/>
    </row>
    <row r="296" spans="2:2" ht="15.75" x14ac:dyDescent="0.25">
      <c r="B296" s="10"/>
    </row>
    <row r="297" spans="2:2" ht="15.75" x14ac:dyDescent="0.25">
      <c r="B297" s="10"/>
    </row>
    <row r="298" spans="2:2" ht="15.75" x14ac:dyDescent="0.25">
      <c r="B298" s="10"/>
    </row>
    <row r="299" spans="2:2" ht="15.75" x14ac:dyDescent="0.25">
      <c r="B299" s="10"/>
    </row>
    <row r="300" spans="2:2" ht="15.75" x14ac:dyDescent="0.25">
      <c r="B300" s="10"/>
    </row>
    <row r="301" spans="2:2" ht="15.75" x14ac:dyDescent="0.25">
      <c r="B301" s="10"/>
    </row>
    <row r="302" spans="2:2" ht="15.75" x14ac:dyDescent="0.25">
      <c r="B302" s="10"/>
    </row>
    <row r="303" spans="2:2" ht="15.75" x14ac:dyDescent="0.25">
      <c r="B303" s="10"/>
    </row>
    <row r="304" spans="2:2" ht="15.75" x14ac:dyDescent="0.25">
      <c r="B304" s="10"/>
    </row>
    <row r="305" spans="2:2" ht="15.75" x14ac:dyDescent="0.25">
      <c r="B305" s="10"/>
    </row>
    <row r="306" spans="2:2" ht="15.75" x14ac:dyDescent="0.25">
      <c r="B306" s="10"/>
    </row>
    <row r="307" spans="2:2" ht="15.75" x14ac:dyDescent="0.25">
      <c r="B307" s="10"/>
    </row>
    <row r="308" spans="2:2" ht="15.75" x14ac:dyDescent="0.25">
      <c r="B308" s="10"/>
    </row>
    <row r="309" spans="2:2" ht="15.75" x14ac:dyDescent="0.25">
      <c r="B309" s="10"/>
    </row>
    <row r="310" spans="2:2" ht="15.75" x14ac:dyDescent="0.25">
      <c r="B310" s="10"/>
    </row>
    <row r="311" spans="2:2" ht="15.75" x14ac:dyDescent="0.25">
      <c r="B311" s="10"/>
    </row>
    <row r="312" spans="2:2" ht="15.75" x14ac:dyDescent="0.25">
      <c r="B312" s="10"/>
    </row>
    <row r="313" spans="2:2" ht="15.75" x14ac:dyDescent="0.25">
      <c r="B313" s="10"/>
    </row>
    <row r="314" spans="2:2" ht="15.75" x14ac:dyDescent="0.25">
      <c r="B314" s="10"/>
    </row>
    <row r="315" spans="2:2" ht="15.75" x14ac:dyDescent="0.25">
      <c r="B315" s="10"/>
    </row>
    <row r="316" spans="2:2" ht="15.75" x14ac:dyDescent="0.25">
      <c r="B316" s="10"/>
    </row>
    <row r="317" spans="2:2" ht="15.75" x14ac:dyDescent="0.25">
      <c r="B317" s="10"/>
    </row>
    <row r="318" spans="2:2" ht="15.75" x14ac:dyDescent="0.25">
      <c r="B318" s="10"/>
    </row>
    <row r="319" spans="2:2" ht="15.75" x14ac:dyDescent="0.25">
      <c r="B319" s="10"/>
    </row>
    <row r="320" spans="2:2" ht="15.75" x14ac:dyDescent="0.25">
      <c r="B320" s="10"/>
    </row>
    <row r="321" spans="2:2" ht="15.75" x14ac:dyDescent="0.25">
      <c r="B321" s="10"/>
    </row>
    <row r="322" spans="2:2" ht="15.75" x14ac:dyDescent="0.25">
      <c r="B322" s="10"/>
    </row>
    <row r="323" spans="2:2" ht="15.75" x14ac:dyDescent="0.25">
      <c r="B323" s="10"/>
    </row>
    <row r="324" spans="2:2" ht="15.75" x14ac:dyDescent="0.25">
      <c r="B324" s="10"/>
    </row>
    <row r="325" spans="2:2" ht="15.75" x14ac:dyDescent="0.25">
      <c r="B325" s="10"/>
    </row>
    <row r="326" spans="2:2" ht="15.75" x14ac:dyDescent="0.25">
      <c r="B326" s="10"/>
    </row>
    <row r="327" spans="2:2" ht="15.75" x14ac:dyDescent="0.25">
      <c r="B327" s="10"/>
    </row>
    <row r="328" spans="2:2" ht="15.75" x14ac:dyDescent="0.25">
      <c r="B328" s="10"/>
    </row>
    <row r="329" spans="2:2" ht="15.75" x14ac:dyDescent="0.25">
      <c r="B329" s="10"/>
    </row>
    <row r="330" spans="2:2" ht="15.75" x14ac:dyDescent="0.25">
      <c r="B330" s="10"/>
    </row>
    <row r="331" spans="2:2" ht="15.75" x14ac:dyDescent="0.25">
      <c r="B331" s="10"/>
    </row>
    <row r="332" spans="2:2" ht="15.75" x14ac:dyDescent="0.25">
      <c r="B332" s="10"/>
    </row>
    <row r="333" spans="2:2" ht="15.75" x14ac:dyDescent="0.25">
      <c r="B333" s="10"/>
    </row>
    <row r="334" spans="2:2" ht="15.75" x14ac:dyDescent="0.25">
      <c r="B334" s="10"/>
    </row>
    <row r="335" spans="2:2" ht="15.75" x14ac:dyDescent="0.25">
      <c r="B335" s="10"/>
    </row>
    <row r="336" spans="2:2" ht="15.75" x14ac:dyDescent="0.25">
      <c r="B336" s="10"/>
    </row>
    <row r="337" spans="2:2" ht="15.75" x14ac:dyDescent="0.25">
      <c r="B337" s="10"/>
    </row>
    <row r="338" spans="2:2" ht="15.75" x14ac:dyDescent="0.25">
      <c r="B338" s="10"/>
    </row>
    <row r="339" spans="2:2" ht="15.75" x14ac:dyDescent="0.25">
      <c r="B339" s="10"/>
    </row>
    <row r="340" spans="2:2" ht="15.75" x14ac:dyDescent="0.25">
      <c r="B340" s="10"/>
    </row>
    <row r="341" spans="2:2" ht="15.75" x14ac:dyDescent="0.25">
      <c r="B341" s="10"/>
    </row>
    <row r="342" spans="2:2" ht="15.75" x14ac:dyDescent="0.25">
      <c r="B342" s="10"/>
    </row>
    <row r="343" spans="2:2" ht="15.75" x14ac:dyDescent="0.25">
      <c r="B343" s="10"/>
    </row>
    <row r="344" spans="2:2" ht="15.75" x14ac:dyDescent="0.25">
      <c r="B344" s="10"/>
    </row>
    <row r="345" spans="2:2" ht="15.75" x14ac:dyDescent="0.25">
      <c r="B345" s="10"/>
    </row>
    <row r="346" spans="2:2" ht="15.75" x14ac:dyDescent="0.25">
      <c r="B346" s="10"/>
    </row>
    <row r="347" spans="2:2" ht="15.75" x14ac:dyDescent="0.25">
      <c r="B347" s="10"/>
    </row>
    <row r="348" spans="2:2" ht="15.75" x14ac:dyDescent="0.25">
      <c r="B348" s="10"/>
    </row>
    <row r="349" spans="2:2" ht="15.75" x14ac:dyDescent="0.25">
      <c r="B349" s="10"/>
    </row>
    <row r="350" spans="2:2" ht="15.75" x14ac:dyDescent="0.25">
      <c r="B350" s="10"/>
    </row>
    <row r="351" spans="2:2" ht="15.75" x14ac:dyDescent="0.25">
      <c r="B351" s="10"/>
    </row>
    <row r="352" spans="2:2" ht="15.75" x14ac:dyDescent="0.25">
      <c r="B352" s="10"/>
    </row>
    <row r="353" spans="2:2" ht="15.75" x14ac:dyDescent="0.25">
      <c r="B353" s="10"/>
    </row>
    <row r="354" spans="2:2" ht="15.75" x14ac:dyDescent="0.25">
      <c r="B354" s="10"/>
    </row>
    <row r="355" spans="2:2" ht="15.75" x14ac:dyDescent="0.25">
      <c r="B355" s="10"/>
    </row>
    <row r="356" spans="2:2" ht="15.75" x14ac:dyDescent="0.25">
      <c r="B356" s="10"/>
    </row>
    <row r="357" spans="2:2" ht="15.75" x14ac:dyDescent="0.25">
      <c r="B357" s="10"/>
    </row>
    <row r="358" spans="2:2" ht="15.75" x14ac:dyDescent="0.25">
      <c r="B358" s="10"/>
    </row>
    <row r="359" spans="2:2" ht="15.75" x14ac:dyDescent="0.25">
      <c r="B359" s="10"/>
    </row>
    <row r="360" spans="2:2" ht="15.75" x14ac:dyDescent="0.25">
      <c r="B360" s="10"/>
    </row>
    <row r="361" spans="2:2" ht="15.75" x14ac:dyDescent="0.25">
      <c r="B361" s="10"/>
    </row>
    <row r="362" spans="2:2" ht="15.75" x14ac:dyDescent="0.25">
      <c r="B362" s="10"/>
    </row>
    <row r="363" spans="2:2" ht="15.75" x14ac:dyDescent="0.25">
      <c r="B363" s="10"/>
    </row>
    <row r="364" spans="2:2" ht="15.75" x14ac:dyDescent="0.25">
      <c r="B364" s="10"/>
    </row>
    <row r="365" spans="2:2" ht="15.75" x14ac:dyDescent="0.25">
      <c r="B365" s="10"/>
    </row>
    <row r="366" spans="2:2" ht="15.75" x14ac:dyDescent="0.25">
      <c r="B366" s="10"/>
    </row>
    <row r="367" spans="2:2" ht="15.75" x14ac:dyDescent="0.25">
      <c r="B367" s="10"/>
    </row>
    <row r="368" spans="2:2" ht="15.75" x14ac:dyDescent="0.25">
      <c r="B368" s="10"/>
    </row>
    <row r="369" spans="2:2" ht="15.75" x14ac:dyDescent="0.25">
      <c r="B369" s="10"/>
    </row>
    <row r="370" spans="2:2" ht="15.75" x14ac:dyDescent="0.25">
      <c r="B370" s="10"/>
    </row>
    <row r="371" spans="2:2" ht="15.75" x14ac:dyDescent="0.25">
      <c r="B371" s="10"/>
    </row>
    <row r="372" spans="2:2" ht="15.75" x14ac:dyDescent="0.25">
      <c r="B372" s="10"/>
    </row>
    <row r="373" spans="2:2" ht="15.75" x14ac:dyDescent="0.25">
      <c r="B373" s="10"/>
    </row>
    <row r="374" spans="2:2" ht="15.75" x14ac:dyDescent="0.25">
      <c r="B374" s="10"/>
    </row>
    <row r="375" spans="2:2" ht="15.75" x14ac:dyDescent="0.25">
      <c r="B375" s="10"/>
    </row>
    <row r="376" spans="2:2" ht="15.75" x14ac:dyDescent="0.25">
      <c r="B376" s="10"/>
    </row>
    <row r="377" spans="2:2" ht="15.75" x14ac:dyDescent="0.25">
      <c r="B377" s="10"/>
    </row>
    <row r="378" spans="2:2" ht="15.75" x14ac:dyDescent="0.25">
      <c r="B378" s="10"/>
    </row>
    <row r="379" spans="2:2" ht="15.75" x14ac:dyDescent="0.25">
      <c r="B379" s="10"/>
    </row>
    <row r="380" spans="2:2" ht="15.75" x14ac:dyDescent="0.25">
      <c r="B380" s="10"/>
    </row>
    <row r="381" spans="2:2" ht="15.75" x14ac:dyDescent="0.25">
      <c r="B381" s="10"/>
    </row>
    <row r="382" spans="2:2" ht="15.75" x14ac:dyDescent="0.25">
      <c r="B382" s="10"/>
    </row>
    <row r="383" spans="2:2" ht="15.75" x14ac:dyDescent="0.25">
      <c r="B383" s="10"/>
    </row>
    <row r="384" spans="2:2" ht="15.75" x14ac:dyDescent="0.25">
      <c r="B384" s="10"/>
    </row>
    <row r="385" spans="2:2" ht="15.75" x14ac:dyDescent="0.25">
      <c r="B385" s="10"/>
    </row>
    <row r="386" spans="2:2" ht="15.75" x14ac:dyDescent="0.25">
      <c r="B386" s="10"/>
    </row>
    <row r="387" spans="2:2" ht="15.75" x14ac:dyDescent="0.25">
      <c r="B387" s="10"/>
    </row>
    <row r="388" spans="2:2" ht="15.75" x14ac:dyDescent="0.25">
      <c r="B388" s="10"/>
    </row>
    <row r="389" spans="2:2" ht="15.75" x14ac:dyDescent="0.25">
      <c r="B389" s="10"/>
    </row>
    <row r="390" spans="2:2" ht="15.75" x14ac:dyDescent="0.25">
      <c r="B390" s="10"/>
    </row>
    <row r="391" spans="2:2" ht="15.75" x14ac:dyDescent="0.25">
      <c r="B391" s="10"/>
    </row>
    <row r="392" spans="2:2" ht="15.75" x14ac:dyDescent="0.25">
      <c r="B392" s="10"/>
    </row>
    <row r="393" spans="2:2" ht="15.75" x14ac:dyDescent="0.25">
      <c r="B393" s="10"/>
    </row>
    <row r="394" spans="2:2" ht="15.75" x14ac:dyDescent="0.25">
      <c r="B394" s="10"/>
    </row>
    <row r="395" spans="2:2" ht="15.75" x14ac:dyDescent="0.25">
      <c r="B395" s="10"/>
    </row>
    <row r="396" spans="2:2" ht="15.75" x14ac:dyDescent="0.25">
      <c r="B396" s="10"/>
    </row>
    <row r="397" spans="2:2" ht="15.75" x14ac:dyDescent="0.25">
      <c r="B397" s="10"/>
    </row>
    <row r="398" spans="2:2" ht="15.75" x14ac:dyDescent="0.25">
      <c r="B398" s="10"/>
    </row>
    <row r="399" spans="2:2" ht="15.75" x14ac:dyDescent="0.25">
      <c r="B399" s="10"/>
    </row>
    <row r="400" spans="2:2" ht="15.75" x14ac:dyDescent="0.25">
      <c r="B400" s="10"/>
    </row>
    <row r="401" spans="2:2" ht="15.75" x14ac:dyDescent="0.25">
      <c r="B401" s="10"/>
    </row>
    <row r="402" spans="2:2" ht="15.75" x14ac:dyDescent="0.25">
      <c r="B402" s="10"/>
    </row>
    <row r="403" spans="2:2" ht="15.75" x14ac:dyDescent="0.25">
      <c r="B403" s="10"/>
    </row>
    <row r="404" spans="2:2" ht="15.75" x14ac:dyDescent="0.25">
      <c r="B404" s="10"/>
    </row>
    <row r="405" spans="2:2" ht="15.75" x14ac:dyDescent="0.25">
      <c r="B405" s="10"/>
    </row>
    <row r="406" spans="2:2" ht="15.75" x14ac:dyDescent="0.25">
      <c r="B406" s="10"/>
    </row>
    <row r="407" spans="2:2" ht="15.75" x14ac:dyDescent="0.25">
      <c r="B407" s="10"/>
    </row>
    <row r="408" spans="2:2" ht="15.75" x14ac:dyDescent="0.25">
      <c r="B408" s="10"/>
    </row>
    <row r="409" spans="2:2" ht="15.75" x14ac:dyDescent="0.25">
      <c r="B409" s="10"/>
    </row>
    <row r="410" spans="2:2" ht="15.75" x14ac:dyDescent="0.25">
      <c r="B410" s="10"/>
    </row>
    <row r="411" spans="2:2" ht="15.75" x14ac:dyDescent="0.25">
      <c r="B411" s="10"/>
    </row>
    <row r="412" spans="2:2" ht="15.75" x14ac:dyDescent="0.25">
      <c r="B412" s="10"/>
    </row>
    <row r="413" spans="2:2" ht="15.75" x14ac:dyDescent="0.25">
      <c r="B413" s="10"/>
    </row>
    <row r="414" spans="2:2" ht="15.75" x14ac:dyDescent="0.25">
      <c r="B414" s="10"/>
    </row>
    <row r="415" spans="2:2" ht="15.75" x14ac:dyDescent="0.25">
      <c r="B415" s="10"/>
    </row>
    <row r="416" spans="2:2" ht="15.75" x14ac:dyDescent="0.25">
      <c r="B416" s="10"/>
    </row>
    <row r="417" spans="2:2" ht="15.75" x14ac:dyDescent="0.25">
      <c r="B417" s="10"/>
    </row>
    <row r="418" spans="2:2" ht="15.75" x14ac:dyDescent="0.25">
      <c r="B418" s="10"/>
    </row>
    <row r="419" spans="2:2" ht="15.75" x14ac:dyDescent="0.25">
      <c r="B419" s="10"/>
    </row>
    <row r="420" spans="2:2" ht="15.75" x14ac:dyDescent="0.25">
      <c r="B420" s="10"/>
    </row>
    <row r="421" spans="2:2" ht="15.75" x14ac:dyDescent="0.25">
      <c r="B421" s="10"/>
    </row>
    <row r="422" spans="2:2" ht="15.75" x14ac:dyDescent="0.25">
      <c r="B422" s="10"/>
    </row>
    <row r="423" spans="2:2" ht="15.75" x14ac:dyDescent="0.25">
      <c r="B423" s="10"/>
    </row>
    <row r="424" spans="2:2" ht="15.75" x14ac:dyDescent="0.25">
      <c r="B424" s="10"/>
    </row>
    <row r="425" spans="2:2" ht="15.75" x14ac:dyDescent="0.25">
      <c r="B425" s="10"/>
    </row>
    <row r="426" spans="2:2" ht="15.75" x14ac:dyDescent="0.25">
      <c r="B426" s="10"/>
    </row>
    <row r="427" spans="2:2" ht="15.75" x14ac:dyDescent="0.25">
      <c r="B427" s="10"/>
    </row>
    <row r="428" spans="2:2" ht="15.75" x14ac:dyDescent="0.25">
      <c r="B428" s="10"/>
    </row>
    <row r="429" spans="2:2" ht="15.75" x14ac:dyDescent="0.25">
      <c r="B429" s="10"/>
    </row>
    <row r="430" spans="2:2" ht="15.75" x14ac:dyDescent="0.25">
      <c r="B430" s="10"/>
    </row>
    <row r="431" spans="2:2" ht="15.75" x14ac:dyDescent="0.25">
      <c r="B431" s="10"/>
    </row>
    <row r="432" spans="2:2" ht="15.75" x14ac:dyDescent="0.25">
      <c r="B432" s="10"/>
    </row>
    <row r="433" spans="2:2" ht="15.75" x14ac:dyDescent="0.25">
      <c r="B433" s="10"/>
    </row>
    <row r="434" spans="2:2" ht="15.75" x14ac:dyDescent="0.25">
      <c r="B434" s="10"/>
    </row>
    <row r="435" spans="2:2" ht="15.75" x14ac:dyDescent="0.25">
      <c r="B435" s="10"/>
    </row>
    <row r="436" spans="2:2" ht="15.75" x14ac:dyDescent="0.25">
      <c r="B436" s="10"/>
    </row>
    <row r="437" spans="2:2" ht="15.75" x14ac:dyDescent="0.25">
      <c r="B437" s="10"/>
    </row>
    <row r="438" spans="2:2" ht="15.75" x14ac:dyDescent="0.25">
      <c r="B438" s="10"/>
    </row>
    <row r="439" spans="2:2" ht="15.75" x14ac:dyDescent="0.25">
      <c r="B439" s="10"/>
    </row>
    <row r="440" spans="2:2" ht="15.75" x14ac:dyDescent="0.25">
      <c r="B440" s="10"/>
    </row>
    <row r="441" spans="2:2" ht="15.75" x14ac:dyDescent="0.25">
      <c r="B441" s="10"/>
    </row>
    <row r="442" spans="2:2" ht="15.75" x14ac:dyDescent="0.25">
      <c r="B442" s="10"/>
    </row>
    <row r="443" spans="2:2" ht="15.75" x14ac:dyDescent="0.25">
      <c r="B443" s="10"/>
    </row>
    <row r="444" spans="2:2" ht="15.75" x14ac:dyDescent="0.25">
      <c r="B444" s="10"/>
    </row>
    <row r="445" spans="2:2" ht="15.75" x14ac:dyDescent="0.25">
      <c r="B445" s="10"/>
    </row>
    <row r="446" spans="2:2" ht="15.75" x14ac:dyDescent="0.25">
      <c r="B446" s="10"/>
    </row>
    <row r="447" spans="2:2" ht="15.75" x14ac:dyDescent="0.25">
      <c r="B447" s="10"/>
    </row>
    <row r="448" spans="2:2" ht="15.75" x14ac:dyDescent="0.25">
      <c r="B448" s="10"/>
    </row>
    <row r="449" spans="2:2" ht="15.75" x14ac:dyDescent="0.25">
      <c r="B449" s="10"/>
    </row>
    <row r="450" spans="2:2" ht="15.75" x14ac:dyDescent="0.25">
      <c r="B450" s="10"/>
    </row>
    <row r="451" spans="2:2" ht="15.75" x14ac:dyDescent="0.25">
      <c r="B451" s="10"/>
    </row>
    <row r="452" spans="2:2" ht="15.75" x14ac:dyDescent="0.25">
      <c r="B452" s="10"/>
    </row>
    <row r="453" spans="2:2" ht="15.75" x14ac:dyDescent="0.25">
      <c r="B453" s="10"/>
    </row>
    <row r="454" spans="2:2" ht="15.75" x14ac:dyDescent="0.25">
      <c r="B454" s="10"/>
    </row>
    <row r="455" spans="2:2" ht="15.75" x14ac:dyDescent="0.25">
      <c r="B455" s="10"/>
    </row>
    <row r="456" spans="2:2" ht="15.75" x14ac:dyDescent="0.25">
      <c r="B456" s="10"/>
    </row>
    <row r="457" spans="2:2" ht="15.75" x14ac:dyDescent="0.25">
      <c r="B457" s="10"/>
    </row>
    <row r="458" spans="2:2" ht="15.75" x14ac:dyDescent="0.25">
      <c r="B458" s="10"/>
    </row>
    <row r="459" spans="2:2" ht="15.75" x14ac:dyDescent="0.25">
      <c r="B459" s="10"/>
    </row>
    <row r="460" spans="2:2" ht="15.75" x14ac:dyDescent="0.25">
      <c r="B460" s="10"/>
    </row>
    <row r="461" spans="2:2" ht="15.75" x14ac:dyDescent="0.25">
      <c r="B461" s="10"/>
    </row>
    <row r="462" spans="2:2" ht="15.75" x14ac:dyDescent="0.25">
      <c r="B462" s="10"/>
    </row>
    <row r="463" spans="2:2" ht="15.75" x14ac:dyDescent="0.25">
      <c r="B463" s="10"/>
    </row>
    <row r="464" spans="2:2" ht="15.75" x14ac:dyDescent="0.25">
      <c r="B464" s="10"/>
    </row>
    <row r="465" spans="2:2" ht="15.75" x14ac:dyDescent="0.25">
      <c r="B465" s="10"/>
    </row>
    <row r="466" spans="2:2" ht="15.75" x14ac:dyDescent="0.25">
      <c r="B466" s="10"/>
    </row>
    <row r="467" spans="2:2" ht="15.75" x14ac:dyDescent="0.25">
      <c r="B467" s="10"/>
    </row>
  </sheetData>
  <mergeCells count="1">
    <mergeCell ref="A1:C1"/>
  </mergeCells>
  <phoneticPr fontId="3" type="noConversion"/>
  <pageMargins left="0.9055118110236221" right="0" top="0.98425196850393704" bottom="0.98425196850393704" header="0.47244094488188981" footer="0.51181102362204722"/>
  <pageSetup paperSize="9" scale="61" orientation="portrait" r:id="rId1"/>
  <headerFooter alignWithMargins="0"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6">
    <pageSetUpPr fitToPage="1"/>
  </sheetPr>
  <dimension ref="A1:J22"/>
  <sheetViews>
    <sheetView workbookViewId="0">
      <selection activeCell="A10" sqref="A10:J10"/>
    </sheetView>
  </sheetViews>
  <sheetFormatPr defaultRowHeight="12.75" x14ac:dyDescent="0.2"/>
  <cols>
    <col min="3" max="3" width="13.5703125" customWidth="1"/>
    <col min="4" max="4" width="15.42578125" customWidth="1"/>
    <col min="5" max="5" width="4.7109375" customWidth="1"/>
    <col min="9" max="9" width="2.5703125" customWidth="1"/>
    <col min="10" max="10" width="14.5703125" customWidth="1"/>
  </cols>
  <sheetData>
    <row r="1" spans="1:10" ht="30.75" customHeight="1" thickBot="1" x14ac:dyDescent="0.25">
      <c r="A1" s="2062" t="s">
        <v>144</v>
      </c>
      <c r="B1" s="2063"/>
      <c r="C1" s="2063"/>
      <c r="D1" s="2063"/>
      <c r="E1" s="2063"/>
      <c r="F1" s="2063"/>
      <c r="G1" s="2063"/>
      <c r="H1" s="2063"/>
      <c r="I1" s="2063"/>
      <c r="J1" s="2064"/>
    </row>
    <row r="2" spans="1:10" ht="0.75" customHeight="1" x14ac:dyDescent="0.2">
      <c r="A2" s="152"/>
      <c r="B2" s="158"/>
      <c r="C2" s="77"/>
      <c r="D2" s="77"/>
      <c r="E2" s="77"/>
      <c r="F2" s="77"/>
      <c r="G2" s="77"/>
      <c r="H2" s="77"/>
      <c r="I2" s="77"/>
      <c r="J2" s="153"/>
    </row>
    <row r="3" spans="1:10" ht="1.5" customHeight="1" x14ac:dyDescent="0.2">
      <c r="A3" s="152"/>
      <c r="B3" s="77"/>
      <c r="C3" s="77"/>
      <c r="D3" s="77"/>
      <c r="E3" s="77"/>
      <c r="F3" s="77"/>
      <c r="G3" s="77"/>
      <c r="H3" s="77"/>
      <c r="I3" s="77"/>
      <c r="J3" s="153"/>
    </row>
    <row r="4" spans="1:10" ht="1.5" customHeight="1" x14ac:dyDescent="0.2">
      <c r="A4" s="152"/>
      <c r="B4" s="77"/>
      <c r="C4" s="77"/>
      <c r="D4" s="77"/>
      <c r="E4" s="77"/>
      <c r="F4" s="77"/>
      <c r="G4" s="77"/>
      <c r="H4" s="77"/>
      <c r="I4" s="77"/>
      <c r="J4" s="153"/>
    </row>
    <row r="5" spans="1:10" ht="1.5" customHeight="1" x14ac:dyDescent="0.2">
      <c r="A5" s="152"/>
      <c r="B5" s="77"/>
      <c r="C5" s="77"/>
      <c r="D5" s="77"/>
      <c r="E5" s="77"/>
      <c r="F5" s="77"/>
      <c r="G5" s="77"/>
      <c r="H5" s="77"/>
      <c r="I5" s="77"/>
      <c r="J5" s="153"/>
    </row>
    <row r="6" spans="1:10" ht="1.5" customHeight="1" x14ac:dyDescent="0.2">
      <c r="A6" s="152"/>
      <c r="B6" s="77"/>
      <c r="C6" s="77"/>
      <c r="D6" s="77"/>
      <c r="E6" s="77"/>
      <c r="F6" s="77"/>
      <c r="G6" s="77"/>
      <c r="H6" s="77"/>
      <c r="I6" s="77"/>
      <c r="J6" s="153"/>
    </row>
    <row r="7" spans="1:10" x14ac:dyDescent="0.2">
      <c r="A7" s="152"/>
      <c r="B7" s="77"/>
      <c r="C7" s="77"/>
      <c r="D7" s="77"/>
      <c r="E7" s="77"/>
      <c r="F7" s="77"/>
      <c r="G7" s="77"/>
      <c r="H7" s="77"/>
      <c r="I7" s="77"/>
      <c r="J7" s="153"/>
    </row>
    <row r="8" spans="1:10" ht="13.5" thickBot="1" x14ac:dyDescent="0.25">
      <c r="A8" s="223"/>
      <c r="B8" s="77"/>
      <c r="C8" s="77"/>
      <c r="D8" s="77"/>
      <c r="E8" s="77"/>
      <c r="F8" s="77"/>
      <c r="G8" s="77"/>
      <c r="H8" s="77"/>
      <c r="I8" s="77"/>
      <c r="J8" s="157"/>
    </row>
    <row r="9" spans="1:10" ht="23.25" customHeight="1" x14ac:dyDescent="0.2">
      <c r="A9" s="2065"/>
      <c r="B9" s="2066"/>
      <c r="C9" s="2066"/>
      <c r="D9" s="2066"/>
      <c r="E9" s="2066"/>
      <c r="F9" s="2066"/>
      <c r="G9" s="2066"/>
      <c r="H9" s="2066"/>
      <c r="I9" s="2066"/>
      <c r="J9" s="2067"/>
    </row>
    <row r="10" spans="1:10" ht="18" customHeight="1" x14ac:dyDescent="0.2">
      <c r="A10" s="2068" t="s">
        <v>642</v>
      </c>
      <c r="B10" s="2069"/>
      <c r="C10" s="2069"/>
      <c r="D10" s="2069"/>
      <c r="E10" s="2069"/>
      <c r="F10" s="2069"/>
      <c r="G10" s="2069"/>
      <c r="H10" s="2069"/>
      <c r="I10" s="2069"/>
      <c r="J10" s="2070"/>
    </row>
    <row r="11" spans="1:10" x14ac:dyDescent="0.2">
      <c r="A11" s="154"/>
      <c r="B11" s="79" t="s">
        <v>75</v>
      </c>
      <c r="C11" s="78"/>
      <c r="D11" s="78"/>
      <c r="E11" s="77"/>
      <c r="F11" s="80"/>
      <c r="G11" s="79" t="s">
        <v>76</v>
      </c>
      <c r="H11" s="80"/>
      <c r="I11" s="80"/>
      <c r="J11" s="155"/>
    </row>
    <row r="12" spans="1:10" x14ac:dyDescent="0.2">
      <c r="A12" s="2059" t="s">
        <v>77</v>
      </c>
      <c r="B12" s="2060"/>
      <c r="C12" s="2060"/>
      <c r="D12" s="192">
        <f>14999991*0.85</f>
        <v>12749992.35</v>
      </c>
      <c r="E12" s="77"/>
      <c r="F12" s="2061" t="s">
        <v>145</v>
      </c>
      <c r="G12" s="2060"/>
      <c r="H12" s="2060"/>
      <c r="I12" s="2060"/>
      <c r="J12" s="194">
        <f>29022126/1.27</f>
        <v>22852067.716535434</v>
      </c>
    </row>
    <row r="13" spans="1:10" x14ac:dyDescent="0.2">
      <c r="A13" s="1080" t="s">
        <v>640</v>
      </c>
      <c r="B13" s="1081"/>
      <c r="C13" s="1081"/>
      <c r="D13" s="1082">
        <f>14999991-D12</f>
        <v>2249998.6500000004</v>
      </c>
      <c r="E13" s="77"/>
      <c r="F13" s="1083"/>
      <c r="G13" s="1087"/>
      <c r="H13" s="1085"/>
      <c r="I13" s="1086"/>
      <c r="J13" s="194"/>
    </row>
    <row r="14" spans="1:10" ht="13.5" thickBot="1" x14ac:dyDescent="0.25">
      <c r="A14" s="2057" t="s">
        <v>78</v>
      </c>
      <c r="B14" s="2058"/>
      <c r="C14" s="2058"/>
      <c r="D14" s="193">
        <f>J12+J14-D12-D13</f>
        <v>14022135</v>
      </c>
      <c r="E14" s="156"/>
      <c r="F14" s="222" t="s">
        <v>164</v>
      </c>
      <c r="G14" s="1088"/>
      <c r="H14" s="156"/>
      <c r="I14" s="1084"/>
      <c r="J14" s="157">
        <f>J12*0.27</f>
        <v>6170058.2834645677</v>
      </c>
    </row>
    <row r="15" spans="1:10" x14ac:dyDescent="0.2">
      <c r="A15" s="77"/>
      <c r="B15" s="77"/>
      <c r="C15" s="77"/>
      <c r="D15" s="77"/>
      <c r="E15" s="77"/>
      <c r="F15" s="77"/>
      <c r="G15" s="77"/>
      <c r="H15" s="77"/>
      <c r="I15" s="77"/>
      <c r="J15" s="77"/>
    </row>
    <row r="16" spans="1:10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</row>
    <row r="17" spans="1:10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</row>
    <row r="18" spans="1:10" ht="12.75" customHeight="1" x14ac:dyDescent="0.2">
      <c r="A18" s="2068" t="s">
        <v>641</v>
      </c>
      <c r="B18" s="2069"/>
      <c r="C18" s="2069"/>
      <c r="D18" s="2069"/>
      <c r="E18" s="2069"/>
      <c r="F18" s="2069"/>
      <c r="G18" s="2069"/>
      <c r="H18" s="2069"/>
      <c r="I18" s="2069"/>
      <c r="J18" s="2070"/>
    </row>
    <row r="19" spans="1:10" x14ac:dyDescent="0.2">
      <c r="A19" s="154"/>
      <c r="B19" s="79" t="s">
        <v>75</v>
      </c>
      <c r="C19" s="78"/>
      <c r="D19" s="78"/>
      <c r="E19" s="77"/>
      <c r="F19" s="80"/>
      <c r="G19" s="79" t="s">
        <v>76</v>
      </c>
      <c r="H19" s="80"/>
      <c r="I19" s="80"/>
      <c r="J19" s="155"/>
    </row>
    <row r="20" spans="1:10" x14ac:dyDescent="0.2">
      <c r="A20" s="2059" t="s">
        <v>77</v>
      </c>
      <c r="B20" s="2060"/>
      <c r="C20" s="2060"/>
      <c r="D20" s="192">
        <f>12700000*0.85</f>
        <v>10795000</v>
      </c>
      <c r="E20" s="77"/>
      <c r="F20" s="2061" t="s">
        <v>145</v>
      </c>
      <c r="G20" s="2060"/>
      <c r="H20" s="2060"/>
      <c r="I20" s="2060"/>
      <c r="J20" s="194">
        <v>10000000</v>
      </c>
    </row>
    <row r="21" spans="1:10" x14ac:dyDescent="0.2">
      <c r="A21" s="1080" t="s">
        <v>640</v>
      </c>
      <c r="B21" s="1081"/>
      <c r="C21" s="1081"/>
      <c r="D21" s="1082">
        <f>12700000-D20</f>
        <v>1905000</v>
      </c>
      <c r="E21" s="77"/>
      <c r="F21" s="1083"/>
      <c r="G21" s="1087"/>
      <c r="H21" s="1085"/>
      <c r="I21" s="1086"/>
      <c r="J21" s="194"/>
    </row>
    <row r="22" spans="1:10" ht="13.5" thickBot="1" x14ac:dyDescent="0.25">
      <c r="A22" s="2057" t="s">
        <v>78</v>
      </c>
      <c r="B22" s="2058"/>
      <c r="C22" s="2058"/>
      <c r="D22" s="193">
        <f>J20+J22-D20-D21</f>
        <v>0</v>
      </c>
      <c r="E22" s="156"/>
      <c r="F22" s="222" t="s">
        <v>164</v>
      </c>
      <c r="G22" s="1088"/>
      <c r="H22" s="156"/>
      <c r="I22" s="1084"/>
      <c r="J22" s="157">
        <f>J20*0.27</f>
        <v>2700000</v>
      </c>
    </row>
  </sheetData>
  <mergeCells count="10">
    <mergeCell ref="A22:C22"/>
    <mergeCell ref="A12:C12"/>
    <mergeCell ref="F12:I12"/>
    <mergeCell ref="A14:C14"/>
    <mergeCell ref="A1:J1"/>
    <mergeCell ref="A9:J9"/>
    <mergeCell ref="A10:J10"/>
    <mergeCell ref="A18:J18"/>
    <mergeCell ref="A20:C20"/>
    <mergeCell ref="F20:I2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1064"/>
  <sheetViews>
    <sheetView topLeftCell="A73" workbookViewId="0">
      <selection activeCell="A157" sqref="A157:N195"/>
    </sheetView>
  </sheetViews>
  <sheetFormatPr defaultRowHeight="12.75" x14ac:dyDescent="0.2"/>
  <cols>
    <col min="1" max="1" width="9.140625" customWidth="1"/>
    <col min="2" max="2" width="24.5703125" bestFit="1" customWidth="1"/>
    <col min="3" max="3" width="15.5703125" style="126" bestFit="1" customWidth="1"/>
    <col min="4" max="4" width="15" style="126" customWidth="1"/>
    <col min="5" max="5" width="16.7109375" style="126" bestFit="1" customWidth="1"/>
    <col min="6" max="6" width="20" style="126" bestFit="1" customWidth="1"/>
    <col min="7" max="7" width="18.85546875" style="126" bestFit="1" customWidth="1"/>
    <col min="8" max="9" width="16.7109375" style="126" bestFit="1" customWidth="1"/>
    <col min="10" max="10" width="17.28515625" style="126" customWidth="1"/>
    <col min="11" max="11" width="15.5703125" style="126" customWidth="1"/>
    <col min="12" max="12" width="16.42578125" style="126" customWidth="1"/>
    <col min="13" max="13" width="19.7109375" style="126" bestFit="1" customWidth="1"/>
    <col min="14" max="14" width="18.28515625" style="126" customWidth="1"/>
    <col min="15" max="15" width="0.5703125" style="126" customWidth="1"/>
    <col min="16" max="16" width="15.28515625" style="126" bestFit="1" customWidth="1"/>
    <col min="17" max="17" width="11.7109375" style="126" customWidth="1"/>
    <col min="18" max="19" width="9.140625" style="126"/>
  </cols>
  <sheetData>
    <row r="1" spans="1:15" s="1266" customFormat="1" ht="32.25" customHeight="1" thickBot="1" x14ac:dyDescent="0.25">
      <c r="A1" s="2071" t="s">
        <v>568</v>
      </c>
      <c r="B1" s="2072"/>
      <c r="C1" s="2072"/>
      <c r="D1" s="2072"/>
      <c r="E1" s="2072"/>
      <c r="F1" s="2072"/>
      <c r="G1" s="2072"/>
      <c r="H1" s="2072"/>
      <c r="I1" s="2072"/>
      <c r="J1" s="2072"/>
      <c r="K1" s="2072"/>
      <c r="L1" s="2073"/>
      <c r="M1" s="1677"/>
      <c r="N1" s="1677"/>
      <c r="O1" s="1678"/>
    </row>
    <row r="2" spans="1:15" s="1266" customFormat="1" ht="15" customHeight="1" x14ac:dyDescent="0.2">
      <c r="A2" s="1267"/>
      <c r="B2" s="1267"/>
      <c r="C2" s="1524"/>
      <c r="D2" s="1525"/>
      <c r="E2" s="1525"/>
      <c r="F2" s="1525"/>
      <c r="G2" s="1525"/>
      <c r="H2" s="1525"/>
      <c r="I2" s="1525"/>
      <c r="J2" s="1525"/>
      <c r="K2" s="1526"/>
      <c r="L2" s="1527"/>
      <c r="M2" s="1679"/>
      <c r="N2" s="1680"/>
      <c r="O2" s="1681"/>
    </row>
    <row r="3" spans="1:15" s="1266" customFormat="1" ht="36" customHeight="1" x14ac:dyDescent="0.2">
      <c r="A3" s="1528" t="s">
        <v>210</v>
      </c>
      <c r="B3" s="1529" t="s">
        <v>211</v>
      </c>
      <c r="C3" s="1530" t="s">
        <v>212</v>
      </c>
      <c r="D3" s="1530" t="s">
        <v>213</v>
      </c>
      <c r="E3" s="1530" t="s">
        <v>129</v>
      </c>
      <c r="F3" s="1530" t="s">
        <v>215</v>
      </c>
      <c r="G3" s="1530" t="s">
        <v>216</v>
      </c>
      <c r="H3" s="1530" t="s">
        <v>130</v>
      </c>
      <c r="I3" s="1530" t="s">
        <v>214</v>
      </c>
      <c r="J3" s="1530" t="s">
        <v>379</v>
      </c>
      <c r="K3" s="1531" t="s">
        <v>131</v>
      </c>
      <c r="L3" s="1532" t="s">
        <v>53</v>
      </c>
    </row>
    <row r="4" spans="1:15" s="1266" customFormat="1" ht="15" customHeight="1" thickBot="1" x14ac:dyDescent="0.25">
      <c r="A4" s="2080" t="s">
        <v>174</v>
      </c>
      <c r="B4" s="2081"/>
      <c r="C4" s="1533"/>
      <c r="D4" s="1533"/>
      <c r="E4" s="1533"/>
      <c r="F4" s="1533"/>
      <c r="G4" s="1533"/>
      <c r="H4" s="1533"/>
      <c r="I4" s="1533"/>
      <c r="J4" s="1533"/>
      <c r="K4" s="1534"/>
      <c r="L4" s="1535"/>
    </row>
    <row r="5" spans="1:15" s="1266" customFormat="1" ht="25.5" x14ac:dyDescent="0.2">
      <c r="A5" s="1536" t="s">
        <v>225</v>
      </c>
      <c r="B5" s="1537" t="s">
        <v>375</v>
      </c>
      <c r="C5" s="1538"/>
      <c r="D5" s="1538"/>
      <c r="E5" s="1538"/>
      <c r="F5" s="1538"/>
      <c r="G5" s="1538"/>
      <c r="H5" s="1538"/>
      <c r="I5" s="1538"/>
      <c r="J5" s="1538"/>
      <c r="K5" s="1539"/>
      <c r="L5" s="1540"/>
    </row>
    <row r="6" spans="1:15" s="1266" customFormat="1" ht="15" customHeight="1" x14ac:dyDescent="0.2">
      <c r="A6" s="1541"/>
      <c r="B6" s="1371" t="s">
        <v>349</v>
      </c>
      <c r="C6" s="1271">
        <f>SUM('5.a.sz. melléklet'!C7)</f>
        <v>4895000</v>
      </c>
      <c r="D6" s="1271"/>
      <c r="E6" s="1271"/>
      <c r="F6" s="1271"/>
      <c r="G6" s="1271">
        <f>SUM('5.a.sz. melléklet'!G7)</f>
        <v>0</v>
      </c>
      <c r="H6" s="1271"/>
      <c r="I6" s="1271"/>
      <c r="J6" s="1271"/>
      <c r="K6" s="1542"/>
      <c r="L6" s="1543">
        <f>SUM(C6:K6)</f>
        <v>4895000</v>
      </c>
    </row>
    <row r="7" spans="1:15" s="1266" customFormat="1" ht="15" customHeight="1" thickBot="1" x14ac:dyDescent="0.25">
      <c r="A7" s="1544"/>
      <c r="B7" s="1545" t="s">
        <v>350</v>
      </c>
      <c r="C7" s="1546">
        <f>SUM('5.a.sz. melléklet'!C8)</f>
        <v>4895000</v>
      </c>
      <c r="D7" s="1546"/>
      <c r="E7" s="1546"/>
      <c r="F7" s="1546"/>
      <c r="G7" s="1546"/>
      <c r="H7" s="1546"/>
      <c r="I7" s="1546"/>
      <c r="J7" s="1546"/>
      <c r="K7" s="1547"/>
      <c r="L7" s="1548">
        <f>SUM(C7:K7)</f>
        <v>4895000</v>
      </c>
    </row>
    <row r="8" spans="1:15" s="1266" customFormat="1" ht="25.5" x14ac:dyDescent="0.2">
      <c r="A8" s="1549" t="s">
        <v>235</v>
      </c>
      <c r="B8" s="1550" t="s">
        <v>277</v>
      </c>
      <c r="C8" s="1288"/>
      <c r="D8" s="1288"/>
      <c r="E8" s="1288"/>
      <c r="F8" s="1288"/>
      <c r="G8" s="1288"/>
      <c r="H8" s="1288"/>
      <c r="I8" s="1288"/>
      <c r="J8" s="1288"/>
      <c r="K8" s="1551"/>
      <c r="L8" s="1552"/>
    </row>
    <row r="9" spans="1:15" s="1266" customFormat="1" ht="15" customHeight="1" x14ac:dyDescent="0.2">
      <c r="A9" s="1541"/>
      <c r="B9" s="1371" t="s">
        <v>349</v>
      </c>
      <c r="C9" s="1271">
        <f>SUM('5.a.sz. melléklet'!C10)</f>
        <v>52068000</v>
      </c>
      <c r="D9" s="1271"/>
      <c r="E9" s="1271">
        <f>SUM('5.a.sz. melléklet'!E10)</f>
        <v>0</v>
      </c>
      <c r="F9" s="1271">
        <f>SUM('5.a.sz. melléklet'!F10)</f>
        <v>12700000</v>
      </c>
      <c r="G9" s="1271">
        <f>SUM('5.a.sz. melléklet'!G10)</f>
        <v>158290848</v>
      </c>
      <c r="H9" s="1271">
        <f>SUM('5.a.sz. melléklet'!H10)</f>
        <v>0</v>
      </c>
      <c r="I9" s="1271">
        <f>SUM('5.a.sz. melléklet'!I10)</f>
        <v>196528000</v>
      </c>
      <c r="J9" s="1271"/>
      <c r="K9" s="1542"/>
      <c r="L9" s="1543">
        <f>SUM(C9:K9)</f>
        <v>419586848</v>
      </c>
    </row>
    <row r="10" spans="1:15" s="1266" customFormat="1" ht="15" customHeight="1" thickBot="1" x14ac:dyDescent="0.25">
      <c r="A10" s="1553"/>
      <c r="B10" s="1554" t="s">
        <v>350</v>
      </c>
      <c r="C10" s="1555">
        <f>SUM('5.a.sz. melléklet'!C11)</f>
        <v>52068000</v>
      </c>
      <c r="D10" s="1555"/>
      <c r="E10" s="1555">
        <f>SUM('5.a.sz. melléklet'!E11)</f>
        <v>0</v>
      </c>
      <c r="F10" s="1555">
        <f>SUM('5.a.sz. melléklet'!F11)</f>
        <v>12700000</v>
      </c>
      <c r="G10" s="1555">
        <f>SUM('5.a.sz. melléklet'!G11)</f>
        <v>158290848</v>
      </c>
      <c r="H10" s="1555">
        <f>SUM('5.a.sz. melléklet'!H11)</f>
        <v>0</v>
      </c>
      <c r="I10" s="1555">
        <f>SUM('5.a.sz. melléklet'!I11)</f>
        <v>196528000</v>
      </c>
      <c r="J10" s="1555"/>
      <c r="K10" s="1556">
        <f>SUM('5.a.sz. melléklet'!K11)</f>
        <v>0</v>
      </c>
      <c r="L10" s="1557">
        <f>SUM(C10:K10)</f>
        <v>419586848</v>
      </c>
    </row>
    <row r="11" spans="1:15" s="1266" customFormat="1" ht="25.5" x14ac:dyDescent="0.2">
      <c r="A11" s="1549" t="s">
        <v>288</v>
      </c>
      <c r="B11" s="1550" t="s">
        <v>445</v>
      </c>
      <c r="C11" s="1288"/>
      <c r="D11" s="1288"/>
      <c r="E11" s="1288"/>
      <c r="F11" s="1288"/>
      <c r="G11" s="1288"/>
      <c r="H11" s="1288"/>
      <c r="I11" s="1288"/>
      <c r="J11" s="1288"/>
      <c r="K11" s="1551"/>
      <c r="L11" s="1552"/>
    </row>
    <row r="12" spans="1:15" s="1266" customFormat="1" ht="15" customHeight="1" x14ac:dyDescent="0.2">
      <c r="A12" s="1541"/>
      <c r="B12" s="1371" t="s">
        <v>349</v>
      </c>
      <c r="C12" s="1271"/>
      <c r="D12" s="1271"/>
      <c r="E12" s="1271">
        <f>SUM('5.a.sz. melléklet'!E13)</f>
        <v>134971058</v>
      </c>
      <c r="F12" s="1271"/>
      <c r="G12" s="1271"/>
      <c r="H12" s="1271"/>
      <c r="I12" s="1271"/>
      <c r="J12" s="1271"/>
      <c r="K12" s="1542"/>
      <c r="L12" s="1543">
        <f>SUM(C12:K12)</f>
        <v>134971058</v>
      </c>
    </row>
    <row r="13" spans="1:15" s="1266" customFormat="1" ht="15" customHeight="1" thickBot="1" x14ac:dyDescent="0.25">
      <c r="A13" s="1553"/>
      <c r="B13" s="1554" t="s">
        <v>350</v>
      </c>
      <c r="C13" s="1555"/>
      <c r="D13" s="1555"/>
      <c r="E13" s="1555">
        <f>SUM('5.a.sz. melléklet'!E14)</f>
        <v>136755752</v>
      </c>
      <c r="F13" s="1555"/>
      <c r="G13" s="1555"/>
      <c r="H13" s="1555"/>
      <c r="I13" s="1555"/>
      <c r="J13" s="1555"/>
      <c r="K13" s="1556">
        <f>'5.a.sz. melléklet'!K14</f>
        <v>27182869</v>
      </c>
      <c r="L13" s="1557">
        <f>SUM(C13:K13)</f>
        <v>163938621</v>
      </c>
    </row>
    <row r="14" spans="1:15" s="1266" customFormat="1" x14ac:dyDescent="0.2">
      <c r="A14" s="1558" t="s">
        <v>278</v>
      </c>
      <c r="B14" s="1559" t="s">
        <v>279</v>
      </c>
      <c r="C14" s="1288"/>
      <c r="D14" s="1288"/>
      <c r="E14" s="1288"/>
      <c r="F14" s="1288"/>
      <c r="G14" s="1288"/>
      <c r="H14" s="1288"/>
      <c r="I14" s="1288"/>
      <c r="J14" s="1288"/>
      <c r="K14" s="1551"/>
      <c r="L14" s="1552"/>
    </row>
    <row r="15" spans="1:15" s="1266" customFormat="1" ht="15" customHeight="1" x14ac:dyDescent="0.2">
      <c r="A15" s="1560"/>
      <c r="B15" s="1371" t="s">
        <v>349</v>
      </c>
      <c r="C15" s="1271"/>
      <c r="D15" s="1271"/>
      <c r="E15" s="1271"/>
      <c r="F15" s="1271"/>
      <c r="G15" s="1271"/>
      <c r="H15" s="1271"/>
      <c r="I15" s="1271"/>
      <c r="J15" s="1271">
        <f>SUM('5.a.sz. melléklet'!J16)</f>
        <v>379000000</v>
      </c>
      <c r="K15" s="1542"/>
      <c r="L15" s="1543">
        <f>SUM(C15:K15)</f>
        <v>379000000</v>
      </c>
    </row>
    <row r="16" spans="1:15" s="1266" customFormat="1" ht="15" customHeight="1" thickBot="1" x14ac:dyDescent="0.25">
      <c r="A16" s="1561"/>
      <c r="B16" s="1554" t="s">
        <v>350</v>
      </c>
      <c r="C16" s="1555"/>
      <c r="D16" s="1555"/>
      <c r="E16" s="1555"/>
      <c r="F16" s="1555"/>
      <c r="G16" s="1555"/>
      <c r="H16" s="1555"/>
      <c r="I16" s="1555"/>
      <c r="J16" s="1555">
        <f>SUM('5.a.sz. melléklet'!J17)</f>
        <v>379000000</v>
      </c>
      <c r="K16" s="1556"/>
      <c r="L16" s="1557">
        <f>SUM(C16:K16)</f>
        <v>379000000</v>
      </c>
    </row>
    <row r="17" spans="1:12" s="1266" customFormat="1" ht="25.5" x14ac:dyDescent="0.2">
      <c r="A17" s="1549" t="s">
        <v>249</v>
      </c>
      <c r="B17" s="1550" t="s">
        <v>159</v>
      </c>
      <c r="C17" s="1562"/>
      <c r="D17" s="1563"/>
      <c r="E17" s="1563"/>
      <c r="F17" s="1563"/>
      <c r="G17" s="1563"/>
      <c r="H17" s="1563"/>
      <c r="I17" s="1563"/>
      <c r="J17" s="1563"/>
      <c r="K17" s="1564"/>
      <c r="L17" s="1552"/>
    </row>
    <row r="18" spans="1:12" s="1266" customFormat="1" ht="15" customHeight="1" x14ac:dyDescent="0.2">
      <c r="A18" s="1541"/>
      <c r="B18" s="1371" t="s">
        <v>349</v>
      </c>
      <c r="C18" s="1565">
        <f>SUM('5.a.sz. melléklet'!C31)</f>
        <v>8351000</v>
      </c>
      <c r="D18" s="1566"/>
      <c r="E18" s="1566"/>
      <c r="F18" s="1566"/>
      <c r="G18" s="1566"/>
      <c r="H18" s="1566"/>
      <c r="I18" s="1566"/>
      <c r="J18" s="1566"/>
      <c r="K18" s="1567"/>
      <c r="L18" s="1543">
        <f>SUM(C18:K18)</f>
        <v>8351000</v>
      </c>
    </row>
    <row r="19" spans="1:12" s="1266" customFormat="1" ht="15" customHeight="1" thickBot="1" x14ac:dyDescent="0.25">
      <c r="A19" s="1553"/>
      <c r="B19" s="1554" t="s">
        <v>350</v>
      </c>
      <c r="C19" s="1568">
        <f>SUM('5.a.sz. melléklet'!C32)</f>
        <v>8351000</v>
      </c>
      <c r="D19" s="1569"/>
      <c r="E19" s="1569"/>
      <c r="F19" s="1569"/>
      <c r="G19" s="1569"/>
      <c r="H19" s="1569"/>
      <c r="I19" s="1569"/>
      <c r="J19" s="1569"/>
      <c r="K19" s="1570"/>
      <c r="L19" s="1557">
        <f>SUM(C19:K19)</f>
        <v>8351000</v>
      </c>
    </row>
    <row r="20" spans="1:12" s="1266" customFormat="1" ht="25.5" x14ac:dyDescent="0.2">
      <c r="A20" s="1549" t="s">
        <v>250</v>
      </c>
      <c r="B20" s="1550" t="s">
        <v>276</v>
      </c>
      <c r="C20" s="1562"/>
      <c r="D20" s="1563"/>
      <c r="E20" s="1563"/>
      <c r="F20" s="1563"/>
      <c r="G20" s="1563"/>
      <c r="H20" s="1563"/>
      <c r="I20" s="1563"/>
      <c r="J20" s="1563"/>
      <c r="K20" s="1564"/>
      <c r="L20" s="1552"/>
    </row>
    <row r="21" spans="1:12" s="1266" customFormat="1" ht="15" customHeight="1" x14ac:dyDescent="0.2">
      <c r="A21" s="1541"/>
      <c r="B21" s="1371" t="s">
        <v>349</v>
      </c>
      <c r="C21" s="1565">
        <f>SUM('5.a.sz. melléklet'!C34)</f>
        <v>8460000</v>
      </c>
      <c r="D21" s="1566"/>
      <c r="E21" s="1566"/>
      <c r="F21" s="1566"/>
      <c r="G21" s="1566"/>
      <c r="H21" s="1566"/>
      <c r="I21" s="1566"/>
      <c r="J21" s="1566"/>
      <c r="K21" s="1567"/>
      <c r="L21" s="1543">
        <f>SUM(C21:K21)</f>
        <v>8460000</v>
      </c>
    </row>
    <row r="22" spans="1:12" s="1266" customFormat="1" ht="15" customHeight="1" thickBot="1" x14ac:dyDescent="0.25">
      <c r="A22" s="1544"/>
      <c r="B22" s="1545" t="s">
        <v>350</v>
      </c>
      <c r="C22" s="1571">
        <f>SUM('5.a.sz. melléklet'!C35)</f>
        <v>8460000</v>
      </c>
      <c r="D22" s="1572"/>
      <c r="E22" s="1572"/>
      <c r="F22" s="1572"/>
      <c r="G22" s="1572"/>
      <c r="H22" s="1573"/>
      <c r="I22" s="1572"/>
      <c r="J22" s="1572"/>
      <c r="K22" s="1574"/>
      <c r="L22" s="1548">
        <f>SUM(C22:K22)</f>
        <v>8460000</v>
      </c>
    </row>
    <row r="23" spans="1:12" s="1266" customFormat="1" ht="15" customHeight="1" x14ac:dyDescent="0.2">
      <c r="A23" s="1549" t="s">
        <v>252</v>
      </c>
      <c r="B23" s="1550" t="s">
        <v>253</v>
      </c>
      <c r="C23" s="1288"/>
      <c r="D23" s="1288"/>
      <c r="E23" s="1288"/>
      <c r="F23" s="1288"/>
      <c r="G23" s="1288"/>
      <c r="H23" s="1288"/>
      <c r="I23" s="1288"/>
      <c r="J23" s="1288"/>
      <c r="K23" s="1551"/>
      <c r="L23" s="1552"/>
    </row>
    <row r="24" spans="1:12" s="1266" customFormat="1" ht="15" customHeight="1" x14ac:dyDescent="0.2">
      <c r="A24" s="1541"/>
      <c r="B24" s="1371" t="s">
        <v>349</v>
      </c>
      <c r="C24" s="1271">
        <f>SUM('5.a.sz. melléklet'!C37)</f>
        <v>1016000</v>
      </c>
      <c r="D24" s="1271"/>
      <c r="E24" s="1271"/>
      <c r="F24" s="1271"/>
      <c r="G24" s="1271"/>
      <c r="H24" s="1271"/>
      <c r="I24" s="1271"/>
      <c r="J24" s="1271"/>
      <c r="K24" s="1542"/>
      <c r="L24" s="1543">
        <f>SUM(C24:K24)</f>
        <v>1016000</v>
      </c>
    </row>
    <row r="25" spans="1:12" s="1266" customFormat="1" ht="15" customHeight="1" thickBot="1" x14ac:dyDescent="0.25">
      <c r="A25" s="1553"/>
      <c r="B25" s="1554" t="s">
        <v>350</v>
      </c>
      <c r="C25" s="1546">
        <f>SUM('5.a.sz. melléklet'!C38)</f>
        <v>1016000</v>
      </c>
      <c r="D25" s="1555"/>
      <c r="E25" s="1555"/>
      <c r="F25" s="1555"/>
      <c r="G25" s="1555"/>
      <c r="H25" s="1555"/>
      <c r="I25" s="1555"/>
      <c r="J25" s="1555"/>
      <c r="K25" s="1556"/>
      <c r="L25" s="1557">
        <f>SUM(C25:K25)</f>
        <v>1016000</v>
      </c>
    </row>
    <row r="26" spans="1:12" s="1266" customFormat="1" ht="15" customHeight="1" x14ac:dyDescent="0.2">
      <c r="A26" s="1549" t="s">
        <v>287</v>
      </c>
      <c r="B26" s="1550" t="s">
        <v>108</v>
      </c>
      <c r="C26" s="1288"/>
      <c r="D26" s="1288"/>
      <c r="E26" s="1288"/>
      <c r="F26" s="1288"/>
      <c r="G26" s="1288"/>
      <c r="H26" s="1288"/>
      <c r="I26" s="1288"/>
      <c r="J26" s="1288"/>
      <c r="K26" s="1551"/>
      <c r="L26" s="1552"/>
    </row>
    <row r="27" spans="1:12" s="1266" customFormat="1" ht="15" customHeight="1" x14ac:dyDescent="0.2">
      <c r="A27" s="1541"/>
      <c r="B27" s="1371" t="s">
        <v>349</v>
      </c>
      <c r="C27" s="1271">
        <f>SUM('5.a.sz. melléklet'!C40)</f>
        <v>762000</v>
      </c>
      <c r="D27" s="1271"/>
      <c r="E27" s="1271"/>
      <c r="F27" s="1271"/>
      <c r="G27" s="1271"/>
      <c r="H27" s="1271"/>
      <c r="I27" s="1271"/>
      <c r="J27" s="1271"/>
      <c r="K27" s="1542"/>
      <c r="L27" s="1543">
        <f>SUM(C27:K27)</f>
        <v>762000</v>
      </c>
    </row>
    <row r="28" spans="1:12" s="1266" customFormat="1" ht="15" customHeight="1" thickBot="1" x14ac:dyDescent="0.25">
      <c r="A28" s="1544"/>
      <c r="B28" s="1545" t="s">
        <v>350</v>
      </c>
      <c r="C28" s="1546">
        <f>SUM('5.a.sz. melléklet'!C41)</f>
        <v>762000</v>
      </c>
      <c r="D28" s="1546"/>
      <c r="E28" s="1546"/>
      <c r="F28" s="1546"/>
      <c r="G28" s="1546"/>
      <c r="H28" s="1546"/>
      <c r="I28" s="1546"/>
      <c r="J28" s="1546"/>
      <c r="K28" s="1547"/>
      <c r="L28" s="1548">
        <f>SUM(C28:K28)</f>
        <v>762000</v>
      </c>
    </row>
    <row r="29" spans="1:12" s="1266" customFormat="1" ht="25.5" x14ac:dyDescent="0.2">
      <c r="A29" s="1549" t="s">
        <v>255</v>
      </c>
      <c r="B29" s="1550" t="s">
        <v>161</v>
      </c>
      <c r="C29" s="1288"/>
      <c r="D29" s="1288"/>
      <c r="E29" s="1288"/>
      <c r="F29" s="1288"/>
      <c r="G29" s="1288"/>
      <c r="H29" s="1288"/>
      <c r="I29" s="1288"/>
      <c r="J29" s="1288"/>
      <c r="K29" s="1551"/>
      <c r="L29" s="1552"/>
    </row>
    <row r="30" spans="1:12" s="1266" customFormat="1" ht="15" customHeight="1" x14ac:dyDescent="0.2">
      <c r="A30" s="1541"/>
      <c r="B30" s="1371" t="s">
        <v>349</v>
      </c>
      <c r="C30" s="1271"/>
      <c r="D30" s="1271"/>
      <c r="E30" s="1271"/>
      <c r="F30" s="1271">
        <f>SUM('5.a.sz. melléklet'!F43)</f>
        <v>12781200</v>
      </c>
      <c r="G30" s="1271"/>
      <c r="H30" s="1271"/>
      <c r="I30" s="1271"/>
      <c r="J30" s="1271"/>
      <c r="K30" s="1542"/>
      <c r="L30" s="1543">
        <f>SUM(C30:K30)</f>
        <v>12781200</v>
      </c>
    </row>
    <row r="31" spans="1:12" s="1266" customFormat="1" ht="15" customHeight="1" thickBot="1" x14ac:dyDescent="0.25">
      <c r="A31" s="1553"/>
      <c r="B31" s="1554" t="s">
        <v>350</v>
      </c>
      <c r="C31" s="1555"/>
      <c r="D31" s="1555"/>
      <c r="E31" s="1555"/>
      <c r="F31" s="1555">
        <f>SUM('5.a.sz. melléklet'!F44)</f>
        <v>12781200</v>
      </c>
      <c r="G31" s="1555"/>
      <c r="H31" s="1555"/>
      <c r="I31" s="1555"/>
      <c r="J31" s="1555"/>
      <c r="K31" s="1556"/>
      <c r="L31" s="1557">
        <f>SUM(C31:K31)</f>
        <v>12781200</v>
      </c>
    </row>
    <row r="32" spans="1:12" s="1266" customFormat="1" ht="25.5" x14ac:dyDescent="0.2">
      <c r="A32" s="1549" t="s">
        <v>256</v>
      </c>
      <c r="B32" s="1550" t="s">
        <v>302</v>
      </c>
      <c r="C32" s="1288"/>
      <c r="D32" s="1288"/>
      <c r="E32" s="1288"/>
      <c r="F32" s="1288"/>
      <c r="G32" s="1288"/>
      <c r="H32" s="1288"/>
      <c r="I32" s="1288"/>
      <c r="J32" s="1288"/>
      <c r="K32" s="1551"/>
      <c r="L32" s="1552"/>
    </row>
    <row r="33" spans="1:12" s="1266" customFormat="1" ht="15" customHeight="1" x14ac:dyDescent="0.2">
      <c r="A33" s="1541"/>
      <c r="B33" s="1371" t="s">
        <v>349</v>
      </c>
      <c r="C33" s="1271"/>
      <c r="D33" s="1271"/>
      <c r="E33" s="1271"/>
      <c r="F33" s="1271">
        <f>SUM('5.a.sz. melléklet'!F46)</f>
        <v>334800</v>
      </c>
      <c r="G33" s="1271"/>
      <c r="H33" s="1271"/>
      <c r="I33" s="1271"/>
      <c r="J33" s="1271"/>
      <c r="K33" s="1542"/>
      <c r="L33" s="1543">
        <f>SUM(C33:K33)</f>
        <v>334800</v>
      </c>
    </row>
    <row r="34" spans="1:12" s="1266" customFormat="1" ht="15" customHeight="1" thickBot="1" x14ac:dyDescent="0.25">
      <c r="A34" s="1553"/>
      <c r="B34" s="1554" t="s">
        <v>350</v>
      </c>
      <c r="C34" s="1555"/>
      <c r="D34" s="1555"/>
      <c r="E34" s="1555"/>
      <c r="F34" s="1555">
        <f>SUM('5.a.sz. melléklet'!F47)</f>
        <v>334800</v>
      </c>
      <c r="G34" s="1555"/>
      <c r="H34" s="1555"/>
      <c r="I34" s="1555"/>
      <c r="J34" s="1555"/>
      <c r="K34" s="1556"/>
      <c r="L34" s="1557">
        <f>SUM(C34:K34)</f>
        <v>334800</v>
      </c>
    </row>
    <row r="35" spans="1:12" s="1266" customFormat="1" ht="15" customHeight="1" x14ac:dyDescent="0.2">
      <c r="A35" s="1549" t="s">
        <v>259</v>
      </c>
      <c r="B35" s="1550" t="s">
        <v>260</v>
      </c>
      <c r="C35" s="1288"/>
      <c r="D35" s="1288"/>
      <c r="E35" s="1288"/>
      <c r="F35" s="1288"/>
      <c r="G35" s="1288"/>
      <c r="H35" s="1288"/>
      <c r="I35" s="1288"/>
      <c r="J35" s="1288"/>
      <c r="K35" s="1551"/>
      <c r="L35" s="1552"/>
    </row>
    <row r="36" spans="1:12" s="1266" customFormat="1" ht="15" customHeight="1" x14ac:dyDescent="0.2">
      <c r="A36" s="1541"/>
      <c r="B36" s="1371" t="s">
        <v>349</v>
      </c>
      <c r="C36" s="1271">
        <f>SUM('5.a.sz. melléklet'!C49)</f>
        <v>508000</v>
      </c>
      <c r="D36" s="1271"/>
      <c r="E36" s="1271"/>
      <c r="F36" s="1271"/>
      <c r="G36" s="1271"/>
      <c r="H36" s="1271"/>
      <c r="I36" s="1271"/>
      <c r="J36" s="1271"/>
      <c r="K36" s="1542"/>
      <c r="L36" s="1543">
        <f>SUM(C36:K36)</f>
        <v>508000</v>
      </c>
    </row>
    <row r="37" spans="1:12" s="1266" customFormat="1" ht="15" customHeight="1" thickBot="1" x14ac:dyDescent="0.25">
      <c r="A37" s="1553"/>
      <c r="B37" s="1554" t="s">
        <v>350</v>
      </c>
      <c r="C37" s="1555">
        <f>SUM('5.a.sz. melléklet'!C50)</f>
        <v>508000</v>
      </c>
      <c r="D37" s="1555"/>
      <c r="E37" s="1555"/>
      <c r="F37" s="1555"/>
      <c r="G37" s="1555"/>
      <c r="H37" s="1555"/>
      <c r="I37" s="1555"/>
      <c r="J37" s="1555"/>
      <c r="K37" s="1556"/>
      <c r="L37" s="1557">
        <f>SUM(C37:K37)</f>
        <v>508000</v>
      </c>
    </row>
    <row r="38" spans="1:12" s="1266" customFormat="1" ht="25.5" x14ac:dyDescent="0.2">
      <c r="A38" s="1549" t="s">
        <v>274</v>
      </c>
      <c r="B38" s="1550" t="s">
        <v>275</v>
      </c>
      <c r="C38" s="1288"/>
      <c r="D38" s="1288"/>
      <c r="E38" s="1288"/>
      <c r="F38" s="1288"/>
      <c r="G38" s="1288"/>
      <c r="H38" s="1288"/>
      <c r="I38" s="1288"/>
      <c r="J38" s="1288"/>
      <c r="K38" s="1551"/>
      <c r="L38" s="1552"/>
    </row>
    <row r="39" spans="1:12" s="1268" customFormat="1" ht="15" customHeight="1" x14ac:dyDescent="0.2">
      <c r="A39" s="1575"/>
      <c r="B39" s="1576" t="s">
        <v>349</v>
      </c>
      <c r="C39" s="1577"/>
      <c r="D39" s="1577"/>
      <c r="E39" s="1577"/>
      <c r="F39" s="1594">
        <f>'5.a.sz. melléklet'!F52</f>
        <v>8000000</v>
      </c>
      <c r="G39" s="1594">
        <f>SUM('5.a.sz. melléklet'!G52)</f>
        <v>16387410.555555556</v>
      </c>
      <c r="H39" s="1577"/>
      <c r="I39" s="1577"/>
      <c r="J39" s="1577"/>
      <c r="K39" s="1578"/>
      <c r="L39" s="1579">
        <f>SUM(C39:K39)</f>
        <v>24387410.555555556</v>
      </c>
    </row>
    <row r="40" spans="1:12" s="1268" customFormat="1" ht="15" customHeight="1" thickBot="1" x14ac:dyDescent="0.25">
      <c r="A40" s="1580"/>
      <c r="B40" s="1581" t="s">
        <v>350</v>
      </c>
      <c r="C40" s="1280"/>
      <c r="D40" s="1280"/>
      <c r="E40" s="1280"/>
      <c r="F40" s="1280">
        <f>'5.a.sz. melléklet'!F53</f>
        <v>8000000</v>
      </c>
      <c r="G40" s="1280">
        <f>SUM('5.a.sz. melléklet'!G53)</f>
        <v>16387410.555555556</v>
      </c>
      <c r="H40" s="1280"/>
      <c r="I40" s="1280"/>
      <c r="J40" s="1280"/>
      <c r="K40" s="1582"/>
      <c r="L40" s="1583">
        <f>SUM(F40:K40)</f>
        <v>24387410.555555556</v>
      </c>
    </row>
    <row r="41" spans="1:12" s="1266" customFormat="1" ht="15" customHeight="1" x14ac:dyDescent="0.2">
      <c r="A41" s="1549" t="s">
        <v>377</v>
      </c>
      <c r="B41" s="1550" t="s">
        <v>387</v>
      </c>
      <c r="C41" s="1288"/>
      <c r="D41" s="1288"/>
      <c r="E41" s="1288"/>
      <c r="F41" s="1288"/>
      <c r="G41" s="1288"/>
      <c r="H41" s="1288"/>
      <c r="I41" s="1288"/>
      <c r="J41" s="1288"/>
      <c r="K41" s="1551"/>
      <c r="L41" s="1552"/>
    </row>
    <row r="42" spans="1:12" s="1266" customFormat="1" ht="15" customHeight="1" x14ac:dyDescent="0.2">
      <c r="A42" s="1541"/>
      <c r="B42" s="1371" t="s">
        <v>349</v>
      </c>
      <c r="C42" s="1271">
        <f>SUM('5.a.sz. melléklet'!C55)</f>
        <v>9834000</v>
      </c>
      <c r="D42" s="1271"/>
      <c r="E42" s="1271"/>
      <c r="F42" s="1271"/>
      <c r="G42" s="1271"/>
      <c r="H42" s="1271"/>
      <c r="I42" s="1271"/>
      <c r="J42" s="1271"/>
      <c r="K42" s="1542"/>
      <c r="L42" s="1543">
        <f>SUM(C42:K42)</f>
        <v>9834000</v>
      </c>
    </row>
    <row r="43" spans="1:12" s="1266" customFormat="1" ht="15" customHeight="1" thickBot="1" x14ac:dyDescent="0.25">
      <c r="A43" s="1544"/>
      <c r="B43" s="1545" t="s">
        <v>350</v>
      </c>
      <c r="C43" s="1546">
        <f>SUM('5.a.sz. melléklet'!C56)</f>
        <v>9834000</v>
      </c>
      <c r="D43" s="1546"/>
      <c r="E43" s="1546"/>
      <c r="F43" s="1546"/>
      <c r="G43" s="1546"/>
      <c r="H43" s="1546"/>
      <c r="I43" s="1546"/>
      <c r="J43" s="1546"/>
      <c r="K43" s="1584"/>
      <c r="L43" s="1548">
        <f>SUM(C43:K43)</f>
        <v>9834000</v>
      </c>
    </row>
    <row r="44" spans="1:12" s="1266" customFormat="1" ht="15" customHeight="1" x14ac:dyDescent="0.2">
      <c r="A44" s="1549" t="s">
        <v>261</v>
      </c>
      <c r="B44" s="1550" t="s">
        <v>111</v>
      </c>
      <c r="C44" s="1288"/>
      <c r="D44" s="1288"/>
      <c r="E44" s="1288"/>
      <c r="F44" s="1288"/>
      <c r="G44" s="1288"/>
      <c r="H44" s="1288"/>
      <c r="I44" s="1288"/>
      <c r="J44" s="1288"/>
      <c r="K44" s="1585"/>
      <c r="L44" s="1552"/>
    </row>
    <row r="45" spans="1:12" s="1266" customFormat="1" ht="15" customHeight="1" x14ac:dyDescent="0.2">
      <c r="A45" s="1541"/>
      <c r="B45" s="1371" t="s">
        <v>349</v>
      </c>
      <c r="C45" s="1271">
        <f>SUM('5.a.sz. melléklet'!C58)</f>
        <v>889000</v>
      </c>
      <c r="D45" s="1271"/>
      <c r="E45" s="1271"/>
      <c r="F45" s="1271"/>
      <c r="G45" s="1271"/>
      <c r="H45" s="1271"/>
      <c r="I45" s="1271"/>
      <c r="J45" s="1271"/>
      <c r="K45" s="1542"/>
      <c r="L45" s="1543">
        <f>SUM(C45:K45)</f>
        <v>889000</v>
      </c>
    </row>
    <row r="46" spans="1:12" s="1266" customFormat="1" ht="15" customHeight="1" thickBot="1" x14ac:dyDescent="0.25">
      <c r="A46" s="1553"/>
      <c r="B46" s="1554" t="s">
        <v>350</v>
      </c>
      <c r="C46" s="1546">
        <f>SUM('5.a.sz. melléklet'!C59)</f>
        <v>889000</v>
      </c>
      <c r="D46" s="1555"/>
      <c r="E46" s="1555"/>
      <c r="F46" s="1555"/>
      <c r="G46" s="1555"/>
      <c r="H46" s="1555"/>
      <c r="I46" s="1555"/>
      <c r="J46" s="1555"/>
      <c r="K46" s="1556"/>
      <c r="L46" s="1557">
        <f>SUM(C46:K46)</f>
        <v>889000</v>
      </c>
    </row>
    <row r="47" spans="1:12" s="1266" customFormat="1" ht="25.5" x14ac:dyDescent="0.2">
      <c r="A47" s="1586" t="s">
        <v>262</v>
      </c>
      <c r="B47" s="1550" t="s">
        <v>409</v>
      </c>
      <c r="C47" s="1288"/>
      <c r="D47" s="1288"/>
      <c r="E47" s="1288"/>
      <c r="F47" s="1288"/>
      <c r="G47" s="1288"/>
      <c r="H47" s="1288"/>
      <c r="I47" s="1288"/>
      <c r="J47" s="1288"/>
      <c r="K47" s="1551"/>
      <c r="L47" s="1552"/>
    </row>
    <row r="48" spans="1:12" s="1266" customFormat="1" ht="15" customHeight="1" x14ac:dyDescent="0.2">
      <c r="A48" s="1286"/>
      <c r="B48" s="1371" t="s">
        <v>349</v>
      </c>
      <c r="C48" s="1271"/>
      <c r="D48" s="1271"/>
      <c r="E48" s="1271"/>
      <c r="F48" s="1271">
        <f>SUM('5.a.sz. melléklet'!F61)</f>
        <v>0</v>
      </c>
      <c r="G48" s="1271"/>
      <c r="H48" s="1271"/>
      <c r="I48" s="1271"/>
      <c r="J48" s="1271"/>
      <c r="K48" s="1542"/>
      <c r="L48" s="1543">
        <f>SUM(C48:K48)</f>
        <v>0</v>
      </c>
    </row>
    <row r="49" spans="1:19" s="1266" customFormat="1" ht="15" customHeight="1" thickBot="1" x14ac:dyDescent="0.25">
      <c r="A49" s="1587"/>
      <c r="B49" s="1554" t="s">
        <v>350</v>
      </c>
      <c r="C49" s="1555"/>
      <c r="D49" s="1555"/>
      <c r="E49" s="1555"/>
      <c r="F49" s="1555"/>
      <c r="G49" s="1555"/>
      <c r="H49" s="1555"/>
      <c r="I49" s="1555"/>
      <c r="J49" s="1555"/>
      <c r="K49" s="1588"/>
      <c r="L49" s="1557"/>
    </row>
    <row r="50" spans="1:19" s="1268" customFormat="1" ht="25.5" x14ac:dyDescent="0.2">
      <c r="A50" s="1589" t="s">
        <v>452</v>
      </c>
      <c r="B50" s="1590" t="s">
        <v>453</v>
      </c>
      <c r="C50" s="1577"/>
      <c r="D50" s="1577"/>
      <c r="E50" s="1577"/>
      <c r="F50" s="1577"/>
      <c r="G50" s="1577"/>
      <c r="H50" s="1577"/>
      <c r="I50" s="1577"/>
      <c r="J50" s="1577"/>
      <c r="K50" s="1591"/>
      <c r="L50" s="1579"/>
    </row>
    <row r="51" spans="1:19" s="1268" customFormat="1" ht="15" customHeight="1" x14ac:dyDescent="0.2">
      <c r="A51" s="1592"/>
      <c r="B51" s="1593" t="s">
        <v>349</v>
      </c>
      <c r="C51" s="1594"/>
      <c r="D51" s="1594">
        <f>SUM('5.a.sz. melléklet'!D64)</f>
        <v>675791000</v>
      </c>
      <c r="E51" s="1594"/>
      <c r="F51" s="1594"/>
      <c r="G51" s="1594"/>
      <c r="H51" s="1594"/>
      <c r="I51" s="1594"/>
      <c r="J51" s="1594"/>
      <c r="K51" s="1595"/>
      <c r="L51" s="1596">
        <f>SUM(C51:K51)</f>
        <v>675791000</v>
      </c>
    </row>
    <row r="52" spans="1:19" s="1268" customFormat="1" ht="15" customHeight="1" thickBot="1" x14ac:dyDescent="0.25">
      <c r="A52" s="1279"/>
      <c r="B52" s="1581" t="s">
        <v>350</v>
      </c>
      <c r="C52" s="1280"/>
      <c r="D52" s="1930">
        <f>SUM('5.a.sz. melléklet'!D65)</f>
        <v>650791000</v>
      </c>
      <c r="E52" s="1280"/>
      <c r="F52" s="1280"/>
      <c r="G52" s="1280"/>
      <c r="H52" s="1280"/>
      <c r="I52" s="1280"/>
      <c r="J52" s="1280"/>
      <c r="K52" s="1597"/>
      <c r="L52" s="1583">
        <f>SUM(C52:K52)</f>
        <v>650791000</v>
      </c>
    </row>
    <row r="53" spans="1:19" s="1268" customFormat="1" ht="25.5" x14ac:dyDescent="0.2">
      <c r="A53" s="1589" t="s">
        <v>272</v>
      </c>
      <c r="B53" s="1590" t="s">
        <v>454</v>
      </c>
      <c r="C53" s="1598"/>
      <c r="D53" s="1598"/>
      <c r="E53" s="1598"/>
      <c r="F53" s="1598"/>
      <c r="G53" s="1598"/>
      <c r="H53" s="1598"/>
      <c r="I53" s="1598"/>
      <c r="J53" s="1598"/>
      <c r="K53" s="1599"/>
      <c r="L53" s="1600"/>
    </row>
    <row r="54" spans="1:19" s="1268" customFormat="1" ht="15" customHeight="1" x14ac:dyDescent="0.2">
      <c r="A54" s="1601"/>
      <c r="B54" s="1593" t="s">
        <v>349</v>
      </c>
      <c r="C54" s="1594"/>
      <c r="D54" s="1594"/>
      <c r="E54" s="1594"/>
      <c r="F54" s="1594"/>
      <c r="G54" s="1594"/>
      <c r="H54" s="1594"/>
      <c r="I54" s="1594"/>
      <c r="J54" s="1594"/>
      <c r="K54" s="1595">
        <f>SUM('5.a.sz. melléklet'!K67)</f>
        <v>300000000</v>
      </c>
      <c r="L54" s="1596">
        <f>SUM(C54:K54)</f>
        <v>300000000</v>
      </c>
    </row>
    <row r="55" spans="1:19" s="1268" customFormat="1" ht="15" customHeight="1" thickBot="1" x14ac:dyDescent="0.25">
      <c r="A55" s="1601"/>
      <c r="B55" s="1593" t="s">
        <v>350</v>
      </c>
      <c r="C55" s="1594"/>
      <c r="D55" s="1594"/>
      <c r="E55" s="1594"/>
      <c r="F55" s="1594"/>
      <c r="G55" s="1594"/>
      <c r="H55" s="1594"/>
      <c r="I55" s="1594"/>
      <c r="J55" s="1594"/>
      <c r="K55" s="1595">
        <f>SUM('5.a.sz. melléklet'!K68)</f>
        <v>365995335</v>
      </c>
      <c r="L55" s="1596">
        <f>SUM(K55)</f>
        <v>365995335</v>
      </c>
    </row>
    <row r="56" spans="1:19" s="1265" customFormat="1" ht="21.75" customHeight="1" x14ac:dyDescent="0.2">
      <c r="A56" s="2084" t="s">
        <v>361</v>
      </c>
      <c r="B56" s="2085"/>
      <c r="C56" s="1602"/>
      <c r="D56" s="1602"/>
      <c r="E56" s="1602"/>
      <c r="F56" s="1602"/>
      <c r="G56" s="1602"/>
      <c r="H56" s="1602"/>
      <c r="I56" s="1602"/>
      <c r="J56" s="1602"/>
      <c r="K56" s="1603"/>
      <c r="L56" s="1540"/>
      <c r="M56" s="1266"/>
      <c r="N56" s="1682"/>
      <c r="O56" s="1266"/>
      <c r="P56" s="1266"/>
      <c r="Q56" s="1266"/>
      <c r="R56" s="1266"/>
      <c r="S56" s="1266"/>
    </row>
    <row r="57" spans="1:19" s="1265" customFormat="1" ht="15" customHeight="1" thickBot="1" x14ac:dyDescent="0.25">
      <c r="A57" s="1604"/>
      <c r="B57" s="1605" t="s">
        <v>349</v>
      </c>
      <c r="C57" s="1606">
        <f>C6+C9+C12+C18+C15+C21+C24+C27+C30+C33+C36+C39+C42+C45+C48+C51+C54</f>
        <v>86783000</v>
      </c>
      <c r="D57" s="1606">
        <f t="shared" ref="D57:L57" si="0">D6+D9+D12+D18+D15+D21+D24+D27+D30+D33+D36+D39+D42+D45+D48+D51+D54</f>
        <v>675791000</v>
      </c>
      <c r="E57" s="1606">
        <f t="shared" si="0"/>
        <v>134971058</v>
      </c>
      <c r="F57" s="1606">
        <f t="shared" si="0"/>
        <v>33816000</v>
      </c>
      <c r="G57" s="1606">
        <f t="shared" si="0"/>
        <v>174678258.55555555</v>
      </c>
      <c r="H57" s="1606">
        <f t="shared" si="0"/>
        <v>0</v>
      </c>
      <c r="I57" s="1606">
        <f t="shared" si="0"/>
        <v>196528000</v>
      </c>
      <c r="J57" s="1606">
        <f t="shared" si="0"/>
        <v>379000000</v>
      </c>
      <c r="K57" s="1606">
        <f t="shared" si="0"/>
        <v>300000000</v>
      </c>
      <c r="L57" s="1606">
        <f t="shared" si="0"/>
        <v>1981567316.5555556</v>
      </c>
      <c r="M57" s="1683">
        <f>SUM(C57:K57)</f>
        <v>1981567316.5555556</v>
      </c>
      <c r="N57" s="1682"/>
      <c r="O57" s="1266"/>
      <c r="P57" s="1266"/>
      <c r="Q57" s="1266"/>
      <c r="R57" s="1266"/>
      <c r="S57" s="1266"/>
    </row>
    <row r="58" spans="1:19" s="1265" customFormat="1" ht="15" customHeight="1" x14ac:dyDescent="0.2">
      <c r="A58" s="1607"/>
      <c r="B58" s="1608" t="s">
        <v>350</v>
      </c>
      <c r="C58" s="1609">
        <f>C7+C10+C13+C16+C19+C22+C25+C28+C31+C34+C37+C40+C43+C46+C49+C52+C55</f>
        <v>86783000</v>
      </c>
      <c r="D58" s="1609">
        <f t="shared" ref="D58:L58" si="1">D7+D10+D13+D16+D19+D22+D25+D28+D31+D34+D37+D40+D43+D46+D49+D52+D55</f>
        <v>650791000</v>
      </c>
      <c r="E58" s="1609">
        <f t="shared" si="1"/>
        <v>136755752</v>
      </c>
      <c r="F58" s="1609">
        <f t="shared" si="1"/>
        <v>33816000</v>
      </c>
      <c r="G58" s="1609">
        <f t="shared" si="1"/>
        <v>174678258.55555555</v>
      </c>
      <c r="H58" s="1609">
        <f t="shared" si="1"/>
        <v>0</v>
      </c>
      <c r="I58" s="1609">
        <f t="shared" si="1"/>
        <v>196528000</v>
      </c>
      <c r="J58" s="1609">
        <f t="shared" si="1"/>
        <v>379000000</v>
      </c>
      <c r="K58" s="1609">
        <f t="shared" si="1"/>
        <v>393178204</v>
      </c>
      <c r="L58" s="1609">
        <f t="shared" si="1"/>
        <v>2051530214.5555556</v>
      </c>
      <c r="M58" s="1683">
        <f>SUM(C58:K58)</f>
        <v>2051530214.5555556</v>
      </c>
      <c r="N58" s="1682"/>
      <c r="O58" s="1266"/>
      <c r="P58" s="1266"/>
      <c r="Q58" s="1266"/>
      <c r="R58" s="1266"/>
      <c r="S58" s="1266"/>
    </row>
    <row r="59" spans="1:19" s="1268" customFormat="1" ht="15" customHeight="1" thickBot="1" x14ac:dyDescent="0.25">
      <c r="A59" s="1610"/>
      <c r="B59" s="1611"/>
      <c r="C59" s="1612"/>
      <c r="D59" s="1612"/>
      <c r="E59" s="1612"/>
      <c r="F59" s="1612"/>
      <c r="G59" s="1612"/>
      <c r="H59" s="1612"/>
      <c r="I59" s="1612"/>
      <c r="J59" s="1612"/>
      <c r="K59" s="1613"/>
      <c r="L59" s="1614"/>
      <c r="M59" s="1684"/>
      <c r="N59" s="1685"/>
      <c r="O59" s="1686"/>
    </row>
    <row r="60" spans="1:19" s="1266" customFormat="1" ht="15" customHeight="1" x14ac:dyDescent="0.2">
      <c r="A60" s="1615"/>
      <c r="B60" s="1616"/>
      <c r="C60" s="1617"/>
      <c r="D60" s="1617"/>
      <c r="E60" s="1617"/>
      <c r="F60" s="1617"/>
      <c r="G60" s="1617"/>
      <c r="H60" s="1617"/>
      <c r="I60" s="1617"/>
      <c r="J60" s="1617"/>
      <c r="K60" s="1618"/>
      <c r="L60" s="1619"/>
      <c r="M60" s="1687"/>
      <c r="N60" s="1688"/>
      <c r="O60" s="1681"/>
    </row>
    <row r="61" spans="1:19" s="1266" customFormat="1" ht="15" customHeight="1" thickBot="1" x14ac:dyDescent="0.25">
      <c r="A61" s="1615"/>
      <c r="B61" s="1616"/>
      <c r="C61" s="1620"/>
      <c r="D61" s="1620"/>
      <c r="E61" s="1620"/>
      <c r="F61" s="1620"/>
      <c r="G61" s="1620"/>
      <c r="H61" s="1620"/>
      <c r="I61" s="1620"/>
      <c r="J61" s="1620"/>
      <c r="K61" s="1620"/>
      <c r="L61" s="1621"/>
      <c r="M61" s="1687"/>
      <c r="N61" s="1688"/>
      <c r="O61" s="1681"/>
    </row>
    <row r="62" spans="1:19" s="1266" customFormat="1" ht="15" customHeight="1" thickBot="1" x14ac:dyDescent="0.25">
      <c r="A62" s="2078" t="s">
        <v>177</v>
      </c>
      <c r="B62" s="2079"/>
      <c r="C62" s="1622"/>
      <c r="D62" s="1622"/>
      <c r="E62" s="1622"/>
      <c r="F62" s="1622"/>
      <c r="G62" s="1622"/>
      <c r="H62" s="1622"/>
      <c r="I62" s="1622"/>
      <c r="J62" s="1622"/>
      <c r="K62" s="1623"/>
      <c r="L62" s="1624"/>
      <c r="M62" s="1687"/>
      <c r="N62" s="1688"/>
      <c r="O62" s="1681"/>
    </row>
    <row r="63" spans="1:19" s="1266" customFormat="1" ht="25.5" x14ac:dyDescent="0.2">
      <c r="A63" s="1528" t="s">
        <v>237</v>
      </c>
      <c r="B63" s="1625" t="s">
        <v>410</v>
      </c>
      <c r="C63" s="1271"/>
      <c r="D63" s="1271"/>
      <c r="E63" s="1271"/>
      <c r="F63" s="1271"/>
      <c r="G63" s="1271"/>
      <c r="H63" s="1271"/>
      <c r="I63" s="1271"/>
      <c r="J63" s="1271"/>
      <c r="K63" s="1542"/>
      <c r="L63" s="1552"/>
    </row>
    <row r="64" spans="1:19" s="1266" customFormat="1" ht="15" customHeight="1" x14ac:dyDescent="0.2">
      <c r="A64" s="1560"/>
      <c r="B64" s="1371" t="s">
        <v>349</v>
      </c>
      <c r="C64" s="1271"/>
      <c r="D64" s="1271"/>
      <c r="E64" s="1271"/>
      <c r="F64" s="1271">
        <f>SUM('5.a.sz. melléklet'!F19)</f>
        <v>3600000</v>
      </c>
      <c r="G64" s="1271"/>
      <c r="H64" s="1271"/>
      <c r="I64" s="1271"/>
      <c r="J64" s="1271"/>
      <c r="K64" s="1542"/>
      <c r="L64" s="1543">
        <f>SUM(C64:K64)</f>
        <v>3600000</v>
      </c>
    </row>
    <row r="65" spans="1:14" s="1266" customFormat="1" ht="15" customHeight="1" thickBot="1" x14ac:dyDescent="0.25">
      <c r="A65" s="1626"/>
      <c r="B65" s="1545" t="s">
        <v>350</v>
      </c>
      <c r="C65" s="1546"/>
      <c r="D65" s="1546"/>
      <c r="E65" s="1546"/>
      <c r="F65" s="1546">
        <f>SUM('5.a.sz. melléklet'!F20)</f>
        <v>3600000</v>
      </c>
      <c r="G65" s="1546"/>
      <c r="H65" s="1546"/>
      <c r="I65" s="1546"/>
      <c r="J65" s="1546"/>
      <c r="K65" s="1547"/>
      <c r="L65" s="1548">
        <f>SUM(F65:K65)</f>
        <v>3600000</v>
      </c>
    </row>
    <row r="66" spans="1:14" s="1266" customFormat="1" ht="25.5" x14ac:dyDescent="0.2">
      <c r="A66" s="1549" t="s">
        <v>245</v>
      </c>
      <c r="B66" s="1550" t="s">
        <v>246</v>
      </c>
      <c r="C66" s="1288"/>
      <c r="D66" s="1288"/>
      <c r="E66" s="1288"/>
      <c r="F66" s="1288"/>
      <c r="G66" s="1288"/>
      <c r="H66" s="1288"/>
      <c r="I66" s="1288"/>
      <c r="J66" s="1288"/>
      <c r="K66" s="1551"/>
      <c r="L66" s="1552"/>
    </row>
    <row r="67" spans="1:14" s="1266" customFormat="1" ht="15" customHeight="1" x14ac:dyDescent="0.2">
      <c r="A67" s="1541"/>
      <c r="B67" s="1371" t="s">
        <v>349</v>
      </c>
      <c r="C67" s="1271"/>
      <c r="D67" s="1271">
        <f>SUM('5.a.sz. melléklet'!D22)</f>
        <v>6500000</v>
      </c>
      <c r="E67" s="1271"/>
      <c r="F67" s="1271">
        <f>SUM('5.a.sz. melléklet'!F22)</f>
        <v>7320000</v>
      </c>
      <c r="G67" s="1271"/>
      <c r="H67" s="1271"/>
      <c r="I67" s="1271"/>
      <c r="J67" s="1271"/>
      <c r="K67" s="1542"/>
      <c r="L67" s="1543">
        <f>SUM(C67:K67)</f>
        <v>13820000</v>
      </c>
    </row>
    <row r="68" spans="1:14" s="1266" customFormat="1" ht="15" customHeight="1" thickBot="1" x14ac:dyDescent="0.25">
      <c r="A68" s="1553"/>
      <c r="B68" s="1554" t="s">
        <v>350</v>
      </c>
      <c r="C68" s="1555"/>
      <c r="D68" s="1555">
        <f>SUM('5.a.sz. melléklet'!D23)</f>
        <v>6500000</v>
      </c>
      <c r="E68" s="1555"/>
      <c r="F68" s="1555">
        <f>SUM('5.a.sz. melléklet'!F23)</f>
        <v>7320000</v>
      </c>
      <c r="G68" s="1555"/>
      <c r="H68" s="1555"/>
      <c r="I68" s="1555"/>
      <c r="J68" s="1555"/>
      <c r="K68" s="1556"/>
      <c r="L68" s="1557">
        <f>SUM(C68:K68)</f>
        <v>13820000</v>
      </c>
    </row>
    <row r="69" spans="1:14" s="1268" customFormat="1" ht="25.5" x14ac:dyDescent="0.2">
      <c r="A69" s="1627" t="s">
        <v>268</v>
      </c>
      <c r="B69" s="1590" t="s">
        <v>495</v>
      </c>
      <c r="C69" s="1577"/>
      <c r="D69" s="1577"/>
      <c r="E69" s="1577"/>
      <c r="F69" s="1577"/>
      <c r="G69" s="1577"/>
      <c r="H69" s="1577"/>
      <c r="I69" s="1577"/>
      <c r="J69" s="1577"/>
      <c r="K69" s="1578"/>
      <c r="L69" s="1579"/>
    </row>
    <row r="70" spans="1:14" s="1268" customFormat="1" ht="15" customHeight="1" x14ac:dyDescent="0.2">
      <c r="A70" s="1575"/>
      <c r="B70" s="1576" t="s">
        <v>349</v>
      </c>
      <c r="C70" s="1594">
        <f>SUM('5.a.sz. melléklet'!C25)</f>
        <v>2134000</v>
      </c>
      <c r="D70" s="1577"/>
      <c r="E70" s="1577"/>
      <c r="F70" s="1577"/>
      <c r="G70" s="1577"/>
      <c r="H70" s="1577"/>
      <c r="I70" s="1577"/>
      <c r="J70" s="1577"/>
      <c r="K70" s="1578"/>
      <c r="L70" s="1579">
        <f>SUM(C70:K70)</f>
        <v>2134000</v>
      </c>
    </row>
    <row r="71" spans="1:14" s="1268" customFormat="1" ht="15" customHeight="1" thickBot="1" x14ac:dyDescent="0.25">
      <c r="A71" s="1580"/>
      <c r="B71" s="1581" t="s">
        <v>350</v>
      </c>
      <c r="C71" s="1280">
        <f>SUM('5.a.sz. melléklet'!C26)</f>
        <v>2134000</v>
      </c>
      <c r="D71" s="1280"/>
      <c r="E71" s="1280"/>
      <c r="F71" s="1280"/>
      <c r="G71" s="1280"/>
      <c r="H71" s="1280"/>
      <c r="I71" s="1280"/>
      <c r="J71" s="1280"/>
      <c r="K71" s="1582"/>
      <c r="L71" s="1583">
        <f>SUM(C71:K71)</f>
        <v>2134000</v>
      </c>
    </row>
    <row r="72" spans="1:14" s="1266" customFormat="1" x14ac:dyDescent="0.2">
      <c r="A72" s="1549" t="s">
        <v>247</v>
      </c>
      <c r="B72" s="1550" t="s">
        <v>248</v>
      </c>
      <c r="C72" s="1288"/>
      <c r="D72" s="1288"/>
      <c r="E72" s="1288"/>
      <c r="F72" s="1288"/>
      <c r="G72" s="1288"/>
      <c r="H72" s="1288"/>
      <c r="I72" s="1288"/>
      <c r="J72" s="1288"/>
      <c r="K72" s="1551"/>
      <c r="L72" s="1552"/>
    </row>
    <row r="73" spans="1:14" s="1266" customFormat="1" ht="15" customHeight="1" x14ac:dyDescent="0.2">
      <c r="A73" s="1628"/>
      <c r="B73" s="1629" t="s">
        <v>349</v>
      </c>
      <c r="C73" s="1275">
        <f>SUM('5.a.sz. melléklet'!C28)</f>
        <v>1300000</v>
      </c>
      <c r="D73" s="1275"/>
      <c r="E73" s="1275"/>
      <c r="F73" s="1275"/>
      <c r="G73" s="1275"/>
      <c r="H73" s="1275"/>
      <c r="I73" s="1275"/>
      <c r="J73" s="1275"/>
      <c r="K73" s="1630"/>
      <c r="L73" s="1631">
        <f>SUM(C73:K73)</f>
        <v>1300000</v>
      </c>
    </row>
    <row r="74" spans="1:14" s="1266" customFormat="1" ht="15" customHeight="1" thickBot="1" x14ac:dyDescent="0.25">
      <c r="A74" s="1541"/>
      <c r="B74" s="1371" t="s">
        <v>350</v>
      </c>
      <c r="C74" s="1271">
        <f>SUM('5.a.sz. melléklet'!C29)</f>
        <v>1300000</v>
      </c>
      <c r="D74" s="1271"/>
      <c r="E74" s="1271"/>
      <c r="F74" s="1271"/>
      <c r="G74" s="1271"/>
      <c r="H74" s="1271"/>
      <c r="I74" s="1271"/>
      <c r="J74" s="1271"/>
      <c r="K74" s="1542"/>
      <c r="L74" s="1543">
        <f>SUM(C74:K74)</f>
        <v>1300000</v>
      </c>
    </row>
    <row r="75" spans="1:14" s="1266" customFormat="1" ht="27.75" customHeight="1" x14ac:dyDescent="0.2">
      <c r="A75" s="2086" t="s">
        <v>362</v>
      </c>
      <c r="B75" s="2087"/>
      <c r="C75" s="1602"/>
      <c r="D75" s="1602"/>
      <c r="E75" s="1602"/>
      <c r="F75" s="1602"/>
      <c r="G75" s="1602"/>
      <c r="H75" s="1602"/>
      <c r="I75" s="1602"/>
      <c r="J75" s="1602"/>
      <c r="K75" s="1603"/>
      <c r="L75" s="1540"/>
      <c r="M75" s="1649"/>
      <c r="N75" s="1688"/>
    </row>
    <row r="76" spans="1:14" s="1266" customFormat="1" ht="15" customHeight="1" thickBot="1" x14ac:dyDescent="0.25">
      <c r="A76" s="1632"/>
      <c r="B76" s="1605" t="s">
        <v>349</v>
      </c>
      <c r="C76" s="1606">
        <f>C67+C73+C64+C70</f>
        <v>3434000</v>
      </c>
      <c r="D76" s="1606">
        <f t="shared" ref="D76:L76" si="2">D67+D73+D64+D70</f>
        <v>6500000</v>
      </c>
      <c r="E76" s="1606">
        <f t="shared" si="2"/>
        <v>0</v>
      </c>
      <c r="F76" s="1606">
        <f t="shared" si="2"/>
        <v>10920000</v>
      </c>
      <c r="G76" s="1606">
        <f t="shared" si="2"/>
        <v>0</v>
      </c>
      <c r="H76" s="1606">
        <f t="shared" si="2"/>
        <v>0</v>
      </c>
      <c r="I76" s="1606">
        <f t="shared" si="2"/>
        <v>0</v>
      </c>
      <c r="J76" s="1606">
        <f t="shared" si="2"/>
        <v>0</v>
      </c>
      <c r="K76" s="1606">
        <f t="shared" si="2"/>
        <v>0</v>
      </c>
      <c r="L76" s="1606">
        <f t="shared" si="2"/>
        <v>20854000</v>
      </c>
      <c r="M76" s="1649"/>
      <c r="N76" s="1688"/>
    </row>
    <row r="77" spans="1:14" s="1266" customFormat="1" ht="15" customHeight="1" thickBot="1" x14ac:dyDescent="0.25">
      <c r="A77" s="1633"/>
      <c r="B77" s="1634" t="s">
        <v>350</v>
      </c>
      <c r="C77" s="1635">
        <f>C65+C68+C71+C74</f>
        <v>3434000</v>
      </c>
      <c r="D77" s="1635">
        <f>D65+D68+D71+D74</f>
        <v>6500000</v>
      </c>
      <c r="E77" s="1635">
        <f t="shared" ref="E77:L77" si="3">E65+E68+E71+E74</f>
        <v>0</v>
      </c>
      <c r="F77" s="1635">
        <f t="shared" si="3"/>
        <v>10920000</v>
      </c>
      <c r="G77" s="1635">
        <f t="shared" si="3"/>
        <v>0</v>
      </c>
      <c r="H77" s="1635">
        <f t="shared" si="3"/>
        <v>0</v>
      </c>
      <c r="I77" s="1635">
        <f t="shared" si="3"/>
        <v>0</v>
      </c>
      <c r="J77" s="1635">
        <f t="shared" si="3"/>
        <v>0</v>
      </c>
      <c r="K77" s="1635">
        <f t="shared" si="3"/>
        <v>0</v>
      </c>
      <c r="L77" s="1635">
        <f t="shared" si="3"/>
        <v>20854000</v>
      </c>
      <c r="M77" s="1649"/>
      <c r="N77" s="1688"/>
    </row>
    <row r="78" spans="1:14" s="1268" customFormat="1" ht="15" customHeight="1" x14ac:dyDescent="0.2">
      <c r="A78" s="1636"/>
      <c r="B78" s="1593"/>
      <c r="C78" s="1637"/>
      <c r="D78" s="1637"/>
      <c r="E78" s="1637"/>
      <c r="F78" s="1637"/>
      <c r="G78" s="1637"/>
      <c r="H78" s="1637"/>
      <c r="I78" s="1637"/>
      <c r="J78" s="1637"/>
      <c r="K78" s="1638"/>
      <c r="L78" s="1639"/>
      <c r="M78" s="1689"/>
      <c r="N78" s="1685"/>
    </row>
    <row r="79" spans="1:14" s="1266" customFormat="1" ht="15" customHeight="1" x14ac:dyDescent="0.2">
      <c r="A79" s="2088" t="s">
        <v>363</v>
      </c>
      <c r="B79" s="2089"/>
      <c r="C79" s="1640"/>
      <c r="D79" s="1640"/>
      <c r="E79" s="1640"/>
      <c r="F79" s="1640"/>
      <c r="G79" s="1640"/>
      <c r="H79" s="1640"/>
      <c r="I79" s="1640"/>
      <c r="J79" s="1640"/>
      <c r="K79" s="1641"/>
      <c r="L79" s="1552"/>
      <c r="M79" s="1649"/>
      <c r="N79" s="1688"/>
    </row>
    <row r="80" spans="1:14" s="1266" customFormat="1" ht="15" customHeight="1" thickBot="1" x14ac:dyDescent="0.25">
      <c r="A80" s="1632"/>
      <c r="B80" s="1605" t="s">
        <v>349</v>
      </c>
      <c r="C80" s="1606">
        <f t="shared" ref="C80:L80" si="4">C57+C76</f>
        <v>90217000</v>
      </c>
      <c r="D80" s="1606">
        <f t="shared" si="4"/>
        <v>682291000</v>
      </c>
      <c r="E80" s="1606">
        <f t="shared" si="4"/>
        <v>134971058</v>
      </c>
      <c r="F80" s="1606">
        <f t="shared" si="4"/>
        <v>44736000</v>
      </c>
      <c r="G80" s="1606">
        <f t="shared" si="4"/>
        <v>174678258.55555555</v>
      </c>
      <c r="H80" s="1606">
        <f t="shared" si="4"/>
        <v>0</v>
      </c>
      <c r="I80" s="1606">
        <f t="shared" si="4"/>
        <v>196528000</v>
      </c>
      <c r="J80" s="1606">
        <f t="shared" si="4"/>
        <v>379000000</v>
      </c>
      <c r="K80" s="1642">
        <f t="shared" si="4"/>
        <v>300000000</v>
      </c>
      <c r="L80" s="1643">
        <f t="shared" si="4"/>
        <v>2002421316.5555556</v>
      </c>
      <c r="M80" s="1649"/>
      <c r="N80" s="1688"/>
    </row>
    <row r="81" spans="1:19" s="1266" customFormat="1" ht="15" customHeight="1" thickBot="1" x14ac:dyDescent="0.25">
      <c r="A81" s="1633"/>
      <c r="B81" s="1634" t="s">
        <v>350</v>
      </c>
      <c r="C81" s="1644">
        <f t="shared" ref="C81:K81" si="5">C58+C77</f>
        <v>90217000</v>
      </c>
      <c r="D81" s="1644">
        <f t="shared" si="5"/>
        <v>657291000</v>
      </c>
      <c r="E81" s="1644">
        <f t="shared" si="5"/>
        <v>136755752</v>
      </c>
      <c r="F81" s="1644">
        <f t="shared" si="5"/>
        <v>44736000</v>
      </c>
      <c r="G81" s="1644">
        <f t="shared" si="5"/>
        <v>174678258.55555555</v>
      </c>
      <c r="H81" s="1644">
        <f t="shared" si="5"/>
        <v>0</v>
      </c>
      <c r="I81" s="1644">
        <f t="shared" si="5"/>
        <v>196528000</v>
      </c>
      <c r="J81" s="1644">
        <f t="shared" si="5"/>
        <v>379000000</v>
      </c>
      <c r="K81" s="1645">
        <f t="shared" si="5"/>
        <v>393178204</v>
      </c>
      <c r="L81" s="1646">
        <f>SUM(L77,L58)</f>
        <v>2072384214.5555556</v>
      </c>
      <c r="M81" s="1649">
        <v>1642801</v>
      </c>
      <c r="N81" s="1688">
        <f>SUM(C81:K81)</f>
        <v>2072384214.5555556</v>
      </c>
    </row>
    <row r="82" spans="1:19" s="1266" customFormat="1" ht="15" customHeight="1" x14ac:dyDescent="0.2">
      <c r="A82" s="1647"/>
      <c r="B82" s="1648"/>
      <c r="D82" s="1649"/>
      <c r="E82" s="1649"/>
      <c r="F82" s="1649"/>
      <c r="G82" s="1649"/>
      <c r="H82" s="1649"/>
      <c r="I82" s="1649"/>
      <c r="J82" s="1649"/>
      <c r="K82" s="1649"/>
      <c r="L82" s="1649"/>
      <c r="M82" s="1649"/>
      <c r="N82" s="1688"/>
    </row>
    <row r="83" spans="1:19" s="1266" customFormat="1" ht="79.5" customHeight="1" x14ac:dyDescent="0.2">
      <c r="A83" s="1650" t="s">
        <v>219</v>
      </c>
      <c r="B83" s="1651" t="s">
        <v>220</v>
      </c>
      <c r="C83" s="1652" t="s">
        <v>9</v>
      </c>
      <c r="D83" s="1653" t="s">
        <v>221</v>
      </c>
      <c r="E83" s="1653" t="s">
        <v>104</v>
      </c>
      <c r="F83" s="1653" t="s">
        <v>222</v>
      </c>
      <c r="G83" s="1653" t="s">
        <v>123</v>
      </c>
      <c r="H83" s="1653" t="s">
        <v>122</v>
      </c>
      <c r="I83" s="1653" t="s">
        <v>223</v>
      </c>
      <c r="J83" s="1653" t="s">
        <v>298</v>
      </c>
      <c r="K83" s="1653" t="s">
        <v>105</v>
      </c>
      <c r="L83" s="1653" t="s">
        <v>142</v>
      </c>
      <c r="M83" s="1653" t="s">
        <v>58</v>
      </c>
      <c r="N83" s="1690" t="s">
        <v>21</v>
      </c>
    </row>
    <row r="84" spans="1:19" s="1265" customFormat="1" ht="15" customHeight="1" thickBot="1" x14ac:dyDescent="0.25">
      <c r="A84" s="2082" t="s">
        <v>174</v>
      </c>
      <c r="B84" s="2083"/>
      <c r="C84" s="1266"/>
      <c r="D84" s="1266"/>
      <c r="E84" s="1266"/>
      <c r="F84" s="1266"/>
      <c r="G84" s="1266"/>
      <c r="H84" s="1266"/>
      <c r="I84" s="1266"/>
      <c r="J84" s="1266"/>
      <c r="K84" s="1266"/>
      <c r="L84" s="1266"/>
      <c r="M84" s="1266"/>
      <c r="N84" s="1266"/>
      <c r="O84" s="1266"/>
      <c r="P84" s="1266"/>
      <c r="Q84" s="1266"/>
      <c r="R84" s="1266"/>
      <c r="S84" s="1266"/>
    </row>
    <row r="85" spans="1:19" s="1265" customFormat="1" ht="15" customHeight="1" x14ac:dyDescent="0.2">
      <c r="A85" s="1654" t="s">
        <v>225</v>
      </c>
      <c r="B85" s="1655" t="s">
        <v>2</v>
      </c>
      <c r="C85" s="1656"/>
      <c r="D85" s="1656"/>
      <c r="E85" s="1656"/>
      <c r="F85" s="1656"/>
      <c r="G85" s="1656"/>
      <c r="H85" s="1656"/>
      <c r="I85" s="1656"/>
      <c r="J85" s="1656"/>
      <c r="K85" s="1656"/>
      <c r="L85" s="1656"/>
      <c r="M85" s="1691"/>
      <c r="N85" s="1692"/>
      <c r="O85" s="1266"/>
      <c r="P85" s="1266"/>
      <c r="Q85" s="1266"/>
      <c r="R85" s="1266"/>
      <c r="S85" s="1266"/>
    </row>
    <row r="86" spans="1:19" s="1265" customFormat="1" ht="15" customHeight="1" x14ac:dyDescent="0.2">
      <c r="A86" s="1657"/>
      <c r="B86" s="1658" t="s">
        <v>349</v>
      </c>
      <c r="C86" s="1270">
        <f>SUM('6. sz.melléklet'!C6)</f>
        <v>32307000</v>
      </c>
      <c r="D86" s="1270">
        <f>SUM('6. sz.melléklet'!D6)</f>
        <v>6505000</v>
      </c>
      <c r="E86" s="1270">
        <f>SUM('6. sz.melléklet'!E6)</f>
        <v>58760000</v>
      </c>
      <c r="F86" s="1270"/>
      <c r="G86" s="1270"/>
      <c r="H86" s="1270">
        <f>SUM('6. sz.melléklet'!H6)</f>
        <v>5500000</v>
      </c>
      <c r="I86" s="1270">
        <f>SUM('6. sz.melléklet'!I6)</f>
        <v>410000</v>
      </c>
      <c r="J86" s="1270">
        <f>SUM('6. sz.melléklet'!J6)</f>
        <v>0</v>
      </c>
      <c r="K86" s="1270">
        <f>SUM('1.sz. melléklet'!B27)</f>
        <v>54155707.555555582</v>
      </c>
      <c r="L86" s="1270"/>
      <c r="M86" s="1693"/>
      <c r="N86" s="1694">
        <f>SUM(C86:M86)</f>
        <v>157637707.55555558</v>
      </c>
      <c r="O86" s="1266"/>
      <c r="P86" s="1266"/>
      <c r="Q86" s="1266"/>
      <c r="R86" s="1266"/>
      <c r="S86" s="1266"/>
    </row>
    <row r="87" spans="1:19" s="1265" customFormat="1" ht="15" customHeight="1" thickBot="1" x14ac:dyDescent="0.25">
      <c r="A87" s="1659"/>
      <c r="B87" s="1660" t="s">
        <v>350</v>
      </c>
      <c r="C87" s="1661">
        <f>SUM('6. sz.melléklet'!C7)</f>
        <v>31827000</v>
      </c>
      <c r="D87" s="1661">
        <f>SUM('6. sz.melléklet'!D7)</f>
        <v>6421000</v>
      </c>
      <c r="E87" s="1661">
        <f>SUM('6. sz.melléklet'!E7)</f>
        <v>135849976</v>
      </c>
      <c r="F87" s="1661"/>
      <c r="G87" s="1661"/>
      <c r="H87" s="1270">
        <f>SUM('6. sz.melléklet'!H7)</f>
        <v>5500000</v>
      </c>
      <c r="I87" s="1661">
        <f>SUM('6. sz.melléklet'!I7)</f>
        <v>410000</v>
      </c>
      <c r="J87" s="1661">
        <f>SUM('6. sz.melléklet'!J7)</f>
        <v>0</v>
      </c>
      <c r="K87" s="1661">
        <f>SUM('6. sz.melléklet'!K7)</f>
        <v>21334155</v>
      </c>
      <c r="L87" s="1661">
        <f>SUM('6. sz.melléklet'!L7)</f>
        <v>0</v>
      </c>
      <c r="M87" s="1695"/>
      <c r="N87" s="1696">
        <f>SUM(C87:M87)</f>
        <v>201342131</v>
      </c>
      <c r="O87" s="1266"/>
      <c r="P87" s="1266"/>
      <c r="Q87" s="1266"/>
      <c r="R87" s="1266"/>
      <c r="S87" s="1266"/>
    </row>
    <row r="88" spans="1:19" s="1265" customFormat="1" ht="15" customHeight="1" x14ac:dyDescent="0.2">
      <c r="A88" s="1662" t="s">
        <v>235</v>
      </c>
      <c r="B88" s="1559" t="s">
        <v>242</v>
      </c>
      <c r="C88" s="1285"/>
      <c r="D88" s="1285"/>
      <c r="E88" s="1285"/>
      <c r="F88" s="1285"/>
      <c r="G88" s="1285"/>
      <c r="H88" s="1285"/>
      <c r="I88" s="1285"/>
      <c r="J88" s="1285"/>
      <c r="K88" s="1285"/>
      <c r="L88" s="1285"/>
      <c r="M88" s="1287"/>
      <c r="N88" s="1274"/>
      <c r="O88" s="1266"/>
      <c r="P88" s="1266"/>
      <c r="Q88" s="1266"/>
      <c r="R88" s="1266"/>
      <c r="S88" s="1266"/>
    </row>
    <row r="89" spans="1:19" s="1265" customFormat="1" ht="15" customHeight="1" x14ac:dyDescent="0.2">
      <c r="A89" s="1657"/>
      <c r="B89" s="1658" t="s">
        <v>349</v>
      </c>
      <c r="C89" s="1270">
        <f>SUM('6. sz.melléklet'!C9)</f>
        <v>0</v>
      </c>
      <c r="D89" s="1270">
        <f>SUM('6. sz.melléklet'!D9)</f>
        <v>0</v>
      </c>
      <c r="E89" s="1270">
        <f>SUM('6. sz.melléklet'!E9)</f>
        <v>47599000</v>
      </c>
      <c r="F89" s="1270"/>
      <c r="G89" s="1270">
        <f>SUM('6. sz.melléklet'!G9)</f>
        <v>238086912</v>
      </c>
      <c r="H89" s="1270">
        <f>SUM('6. sz.melléklet'!H9)</f>
        <v>352724281</v>
      </c>
      <c r="I89" s="1270"/>
      <c r="J89" s="1270"/>
      <c r="K89" s="1270"/>
      <c r="L89" s="1270">
        <f>SUM('1.sz. melléklet'!B28)</f>
        <v>26500000</v>
      </c>
      <c r="M89" s="1693"/>
      <c r="N89" s="1697">
        <f t="shared" ref="N89:N132" si="6">SUM(C89:M89)</f>
        <v>664910193</v>
      </c>
      <c r="O89" s="1266"/>
      <c r="P89" s="1266"/>
      <c r="Q89" s="1266"/>
      <c r="R89" s="1266"/>
      <c r="S89" s="1266"/>
    </row>
    <row r="90" spans="1:19" s="1265" customFormat="1" ht="15" customHeight="1" thickBot="1" x14ac:dyDescent="0.25">
      <c r="A90" s="1663"/>
      <c r="B90" s="1664" t="s">
        <v>350</v>
      </c>
      <c r="C90" s="1665">
        <f>SUM('6. sz.melléklet'!C10)</f>
        <v>480000</v>
      </c>
      <c r="D90" s="1665">
        <f>SUM('6. sz.melléklet'!D10)</f>
        <v>84000</v>
      </c>
      <c r="E90" s="1665">
        <f>SUM('6. sz.melléklet'!E10)</f>
        <v>47599000</v>
      </c>
      <c r="F90" s="1665"/>
      <c r="G90" s="1665">
        <f>SUM('6. sz.melléklet'!G10)</f>
        <v>238086912</v>
      </c>
      <c r="H90" s="1665">
        <f>SUM('6. sz.melléklet'!H10)</f>
        <v>352724281</v>
      </c>
      <c r="I90" s="1665"/>
      <c r="J90" s="1665"/>
      <c r="K90" s="1665"/>
      <c r="L90" s="1661">
        <f>SUM('1.sz. melléklet'!C28)</f>
        <v>3571800</v>
      </c>
      <c r="M90" s="1698"/>
      <c r="N90" s="1699">
        <f t="shared" si="6"/>
        <v>642545993</v>
      </c>
      <c r="O90" s="1266"/>
      <c r="P90" s="1266"/>
      <c r="Q90" s="1266"/>
      <c r="R90" s="1266"/>
      <c r="S90" s="1266"/>
    </row>
    <row r="91" spans="1:19" s="1265" customFormat="1" ht="25.5" x14ac:dyDescent="0.2">
      <c r="A91" s="1662" t="s">
        <v>288</v>
      </c>
      <c r="B91" s="1550" t="s">
        <v>391</v>
      </c>
      <c r="C91" s="1285"/>
      <c r="D91" s="1285"/>
      <c r="E91" s="1285"/>
      <c r="F91" s="1285"/>
      <c r="G91" s="1285"/>
      <c r="H91" s="1285"/>
      <c r="I91" s="1285"/>
      <c r="J91" s="1285"/>
      <c r="K91" s="1285"/>
      <c r="L91" s="1285"/>
      <c r="M91" s="1287"/>
      <c r="N91" s="1700"/>
      <c r="O91" s="1266"/>
      <c r="P91" s="1266"/>
      <c r="Q91" s="1266"/>
      <c r="R91" s="1266"/>
      <c r="S91" s="1266"/>
    </row>
    <row r="92" spans="1:19" s="1265" customFormat="1" ht="15" customHeight="1" x14ac:dyDescent="0.2">
      <c r="A92" s="1657"/>
      <c r="B92" s="1658" t="s">
        <v>349</v>
      </c>
      <c r="C92" s="1270"/>
      <c r="D92" s="1270"/>
      <c r="E92" s="1270">
        <f>'6. sz.melléklet'!E12</f>
        <v>0</v>
      </c>
      <c r="F92" s="1270"/>
      <c r="G92" s="1270"/>
      <c r="H92" s="1270"/>
      <c r="I92" s="1270"/>
      <c r="J92" s="1270"/>
      <c r="K92" s="1270"/>
      <c r="L92" s="1270"/>
      <c r="M92" s="1693">
        <f>SUM('6. sz.melléklet'!M12)</f>
        <v>5398843</v>
      </c>
      <c r="N92" s="1697">
        <f>SUM(E92:M92)</f>
        <v>5398843</v>
      </c>
      <c r="O92" s="1266"/>
      <c r="P92" s="1266"/>
      <c r="Q92" s="1266"/>
      <c r="R92" s="1266"/>
      <c r="S92" s="1266"/>
    </row>
    <row r="93" spans="1:19" s="1265" customFormat="1" ht="15" customHeight="1" thickBot="1" x14ac:dyDescent="0.25">
      <c r="A93" s="1666"/>
      <c r="B93" s="1667" t="s">
        <v>350</v>
      </c>
      <c r="C93" s="1285"/>
      <c r="D93" s="1285"/>
      <c r="E93" s="1285">
        <f>'6. sz.melléklet'!E13</f>
        <v>276042</v>
      </c>
      <c r="F93" s="1285"/>
      <c r="G93" s="1285"/>
      <c r="H93" s="1285"/>
      <c r="I93" s="1285">
        <f>SUM('6. sz.melléklet'!I13)</f>
        <v>0</v>
      </c>
      <c r="J93" s="1285"/>
      <c r="K93" s="1285"/>
      <c r="L93" s="1285"/>
      <c r="M93" s="1287">
        <f>SUM('6. sz.melléklet'!M13)</f>
        <v>32581712</v>
      </c>
      <c r="N93" s="1274">
        <f>SUM(C93:M93)</f>
        <v>32857754</v>
      </c>
      <c r="O93" s="1266"/>
      <c r="P93" s="1266"/>
      <c r="Q93" s="1266"/>
      <c r="R93" s="1266"/>
      <c r="S93" s="1266"/>
    </row>
    <row r="94" spans="1:19" s="1265" customFormat="1" ht="15" customHeight="1" x14ac:dyDescent="0.2">
      <c r="A94" s="1654" t="s">
        <v>472</v>
      </c>
      <c r="B94" s="1655" t="s">
        <v>473</v>
      </c>
      <c r="C94" s="1656"/>
      <c r="D94" s="1656"/>
      <c r="E94" s="1656"/>
      <c r="F94" s="1656"/>
      <c r="G94" s="1656"/>
      <c r="H94" s="1656"/>
      <c r="I94" s="1656"/>
      <c r="J94" s="1656"/>
      <c r="K94" s="1656"/>
      <c r="L94" s="1656"/>
      <c r="M94" s="1656"/>
      <c r="N94" s="1701"/>
      <c r="O94" s="1266"/>
      <c r="P94" s="1266"/>
      <c r="Q94" s="1266"/>
      <c r="R94" s="1266"/>
      <c r="S94" s="1266"/>
    </row>
    <row r="95" spans="1:19" s="1265" customFormat="1" ht="15" customHeight="1" x14ac:dyDescent="0.2">
      <c r="A95" s="1657"/>
      <c r="B95" s="1658" t="s">
        <v>349</v>
      </c>
      <c r="C95" s="1270"/>
      <c r="D95" s="1270"/>
      <c r="E95" s="1270"/>
      <c r="F95" s="1270"/>
      <c r="G95" s="1270"/>
      <c r="H95" s="1270"/>
      <c r="I95" s="1270">
        <f>SUM('6. sz.melléklet'!I15)</f>
        <v>41964377</v>
      </c>
      <c r="J95" s="1270"/>
      <c r="K95" s="1270"/>
      <c r="L95" s="1270"/>
      <c r="M95" s="1270"/>
      <c r="N95" s="1702">
        <f>SUM(C95:M95)</f>
        <v>41964377</v>
      </c>
      <c r="O95" s="1266"/>
      <c r="P95" s="1266"/>
      <c r="Q95" s="1266"/>
      <c r="R95" s="1266"/>
      <c r="S95" s="1266"/>
    </row>
    <row r="96" spans="1:19" s="1269" customFormat="1" ht="15" customHeight="1" thickBot="1" x14ac:dyDescent="0.25">
      <c r="A96" s="1668"/>
      <c r="B96" s="1669" t="s">
        <v>350</v>
      </c>
      <c r="C96" s="1670"/>
      <c r="D96" s="1670"/>
      <c r="E96" s="1670"/>
      <c r="F96" s="1670"/>
      <c r="G96" s="1670"/>
      <c r="H96" s="1670"/>
      <c r="I96" s="1661">
        <f>SUM('6. sz.melléklet'!I16)</f>
        <v>41964377</v>
      </c>
      <c r="J96" s="1670"/>
      <c r="K96" s="1670"/>
      <c r="L96" s="1670"/>
      <c r="M96" s="1703"/>
      <c r="N96" s="1931">
        <f>SUM(I96:M96)</f>
        <v>41964377</v>
      </c>
      <c r="O96" s="1268"/>
      <c r="P96" s="1268"/>
      <c r="Q96" s="1268"/>
      <c r="R96" s="1268"/>
      <c r="S96" s="1268"/>
    </row>
    <row r="97" spans="1:19" s="1265" customFormat="1" ht="15" customHeight="1" x14ac:dyDescent="0.2">
      <c r="A97" s="1662" t="s">
        <v>278</v>
      </c>
      <c r="B97" s="1559" t="s">
        <v>279</v>
      </c>
      <c r="C97" s="1285"/>
      <c r="D97" s="1285"/>
      <c r="E97" s="1285"/>
      <c r="F97" s="1285"/>
      <c r="G97" s="1285"/>
      <c r="H97" s="1285"/>
      <c r="I97" s="1285"/>
      <c r="J97" s="1285"/>
      <c r="K97" s="1285"/>
      <c r="L97" s="1285"/>
      <c r="M97" s="1287"/>
      <c r="N97" s="1274"/>
      <c r="O97" s="1266"/>
      <c r="P97" s="1266"/>
      <c r="Q97" s="1266"/>
      <c r="R97" s="1266"/>
      <c r="S97" s="1266"/>
    </row>
    <row r="98" spans="1:19" s="1265" customFormat="1" ht="15" customHeight="1" x14ac:dyDescent="0.2">
      <c r="A98" s="1657"/>
      <c r="B98" s="1658" t="s">
        <v>349</v>
      </c>
      <c r="C98" s="1270"/>
      <c r="D98" s="1270"/>
      <c r="E98" s="1270"/>
      <c r="F98" s="1270"/>
      <c r="G98" s="1270"/>
      <c r="H98" s="1270"/>
      <c r="I98" s="1270">
        <f>'6. sz.melléklet'!I18</f>
        <v>20030004</v>
      </c>
      <c r="J98" s="1270"/>
      <c r="K98" s="1270"/>
      <c r="L98" s="1270"/>
      <c r="M98" s="1693">
        <f>SUM('6. sz.melléklet'!M18)</f>
        <v>465919000</v>
      </c>
      <c r="N98" s="1694">
        <f t="shared" si="6"/>
        <v>485949004</v>
      </c>
      <c r="O98" s="1266"/>
      <c r="P98" s="1266"/>
      <c r="Q98" s="1266"/>
      <c r="R98" s="1266"/>
      <c r="S98" s="1266"/>
    </row>
    <row r="99" spans="1:19" s="1265" customFormat="1" ht="15" customHeight="1" thickBot="1" x14ac:dyDescent="0.25">
      <c r="A99" s="1663"/>
      <c r="B99" s="1664" t="s">
        <v>350</v>
      </c>
      <c r="C99" s="1665"/>
      <c r="D99" s="1665"/>
      <c r="E99" s="1665"/>
      <c r="F99" s="1665"/>
      <c r="G99" s="1665"/>
      <c r="H99" s="1665"/>
      <c r="I99" s="1661">
        <f>'6. sz.melléklet'!I19</f>
        <v>20030004</v>
      </c>
      <c r="J99" s="1665"/>
      <c r="K99" s="1665"/>
      <c r="L99" s="1665"/>
      <c r="M99" s="1698">
        <f>SUM('6. sz.melléklet'!M19)</f>
        <v>494551005</v>
      </c>
      <c r="N99" s="1699">
        <f>SUM(C99:M99)</f>
        <v>514581009</v>
      </c>
      <c r="O99" s="1266"/>
      <c r="P99" s="1266"/>
      <c r="Q99" s="1266"/>
      <c r="R99" s="1266"/>
      <c r="S99" s="1266"/>
    </row>
    <row r="100" spans="1:19" s="1265" customFormat="1" ht="25.5" x14ac:dyDescent="0.2">
      <c r="A100" s="1586" t="s">
        <v>249</v>
      </c>
      <c r="B100" s="1550" t="s">
        <v>162</v>
      </c>
      <c r="C100" s="1288"/>
      <c r="D100" s="1288"/>
      <c r="E100" s="1288"/>
      <c r="F100" s="1288"/>
      <c r="G100" s="1288"/>
      <c r="H100" s="1288"/>
      <c r="I100" s="1289"/>
      <c r="J100" s="1289"/>
      <c r="K100" s="1289"/>
      <c r="L100" s="1289"/>
      <c r="M100" s="1290"/>
      <c r="N100" s="1274"/>
      <c r="O100" s="1266"/>
      <c r="P100" s="1266"/>
      <c r="Q100" s="1266"/>
      <c r="R100" s="1266"/>
      <c r="S100" s="1266"/>
    </row>
    <row r="101" spans="1:19" s="1265" customFormat="1" ht="15" customHeight="1" x14ac:dyDescent="0.2">
      <c r="A101" s="1286"/>
      <c r="B101" s="1658" t="s">
        <v>349</v>
      </c>
      <c r="C101" s="1271"/>
      <c r="D101" s="1271"/>
      <c r="E101" s="1271">
        <f>SUM('6. sz.melléklet'!E33)</f>
        <v>9615000</v>
      </c>
      <c r="F101" s="1271"/>
      <c r="G101" s="1271">
        <f>SUM('6. sz.melléklet'!G33)</f>
        <v>0</v>
      </c>
      <c r="H101" s="1271"/>
      <c r="I101" s="1272"/>
      <c r="J101" s="1272"/>
      <c r="K101" s="1272"/>
      <c r="L101" s="1272"/>
      <c r="M101" s="1273"/>
      <c r="N101" s="1694">
        <f t="shared" si="6"/>
        <v>9615000</v>
      </c>
      <c r="O101" s="1266"/>
      <c r="P101" s="1266"/>
      <c r="Q101" s="1266"/>
      <c r="R101" s="1266"/>
      <c r="S101" s="1266"/>
    </row>
    <row r="102" spans="1:19" s="1265" customFormat="1" ht="15" customHeight="1" thickBot="1" x14ac:dyDescent="0.25">
      <c r="A102" s="1587"/>
      <c r="B102" s="1664" t="s">
        <v>350</v>
      </c>
      <c r="C102" s="1555"/>
      <c r="D102" s="1555"/>
      <c r="E102" s="1555">
        <f>SUM('6. sz.melléklet'!E34)</f>
        <v>9615000</v>
      </c>
      <c r="F102" s="1555"/>
      <c r="G102" s="1555">
        <f>SUM('6. sz.melléklet'!G34)</f>
        <v>0</v>
      </c>
      <c r="H102" s="1555"/>
      <c r="I102" s="1671"/>
      <c r="J102" s="1671"/>
      <c r="K102" s="1671"/>
      <c r="L102" s="1671"/>
      <c r="M102" s="1704"/>
      <c r="N102" s="1699">
        <f t="shared" si="6"/>
        <v>9615000</v>
      </c>
      <c r="O102" s="1266"/>
      <c r="P102" s="1266"/>
      <c r="Q102" s="1266"/>
      <c r="R102" s="1266"/>
      <c r="S102" s="1266"/>
    </row>
    <row r="103" spans="1:19" s="1265" customFormat="1" ht="15" customHeight="1" x14ac:dyDescent="0.2">
      <c r="A103" s="1586" t="s">
        <v>250</v>
      </c>
      <c r="B103" s="1550" t="s">
        <v>251</v>
      </c>
      <c r="C103" s="1288"/>
      <c r="D103" s="1288"/>
      <c r="E103" s="1288"/>
      <c r="F103" s="1288"/>
      <c r="G103" s="1288"/>
      <c r="H103" s="1288"/>
      <c r="I103" s="1289"/>
      <c r="J103" s="1289"/>
      <c r="K103" s="1289"/>
      <c r="L103" s="1289"/>
      <c r="M103" s="1290"/>
      <c r="N103" s="1274"/>
      <c r="O103" s="1266"/>
      <c r="P103" s="1266"/>
      <c r="Q103" s="1266"/>
      <c r="R103" s="1266"/>
      <c r="S103" s="1266"/>
    </row>
    <row r="104" spans="1:19" s="1265" customFormat="1" ht="15" customHeight="1" x14ac:dyDescent="0.2">
      <c r="A104" s="1286"/>
      <c r="B104" s="1658" t="s">
        <v>349</v>
      </c>
      <c r="C104" s="1271"/>
      <c r="D104" s="1271"/>
      <c r="E104" s="1271">
        <f>SUM('6. sz.melléklet'!E36)</f>
        <v>1188000</v>
      </c>
      <c r="F104" s="1271"/>
      <c r="G104" s="1271"/>
      <c r="H104" s="1271"/>
      <c r="I104" s="1272"/>
      <c r="J104" s="1272"/>
      <c r="K104" s="1272"/>
      <c r="L104" s="1272"/>
      <c r="M104" s="1273"/>
      <c r="N104" s="1694">
        <f t="shared" si="6"/>
        <v>1188000</v>
      </c>
      <c r="O104" s="1266"/>
      <c r="P104" s="1266"/>
      <c r="Q104" s="1266"/>
      <c r="R104" s="1266"/>
      <c r="S104" s="1266"/>
    </row>
    <row r="105" spans="1:19" s="1265" customFormat="1" ht="15" customHeight="1" thickBot="1" x14ac:dyDescent="0.25">
      <c r="A105" s="1587"/>
      <c r="B105" s="1664" t="s">
        <v>350</v>
      </c>
      <c r="C105" s="1555"/>
      <c r="D105" s="1555"/>
      <c r="E105" s="1555">
        <f>SUM('6. sz.melléklet'!E37)</f>
        <v>1188000</v>
      </c>
      <c r="F105" s="1555"/>
      <c r="G105" s="1555"/>
      <c r="H105" s="1555"/>
      <c r="I105" s="1671"/>
      <c r="J105" s="1671"/>
      <c r="K105" s="1671"/>
      <c r="L105" s="1671"/>
      <c r="M105" s="1704"/>
      <c r="N105" s="1699">
        <f t="shared" si="6"/>
        <v>1188000</v>
      </c>
      <c r="O105" s="1266"/>
      <c r="P105" s="1266"/>
      <c r="Q105" s="1266"/>
      <c r="R105" s="1266"/>
      <c r="S105" s="1266"/>
    </row>
    <row r="106" spans="1:19" s="1265" customFormat="1" ht="15" customHeight="1" x14ac:dyDescent="0.2">
      <c r="A106" s="1586" t="s">
        <v>270</v>
      </c>
      <c r="B106" s="1550" t="s">
        <v>1</v>
      </c>
      <c r="C106" s="1672"/>
      <c r="D106" s="1288"/>
      <c r="E106" s="1288"/>
      <c r="F106" s="1288"/>
      <c r="G106" s="1288"/>
      <c r="H106" s="1288"/>
      <c r="I106" s="1289"/>
      <c r="J106" s="1289"/>
      <c r="K106" s="1289"/>
      <c r="L106" s="1289"/>
      <c r="M106" s="1290"/>
      <c r="N106" s="1274"/>
      <c r="O106" s="1266"/>
      <c r="P106" s="1266"/>
      <c r="Q106" s="1266"/>
      <c r="R106" s="1266"/>
      <c r="S106" s="1266"/>
    </row>
    <row r="107" spans="1:19" s="1265" customFormat="1" ht="15" customHeight="1" x14ac:dyDescent="0.2">
      <c r="A107" s="1286"/>
      <c r="B107" s="1658" t="s">
        <v>349</v>
      </c>
      <c r="C107" s="1673"/>
      <c r="D107" s="1271"/>
      <c r="E107" s="1271">
        <f>SUM('6. sz.melléklet'!E39)</f>
        <v>18384000</v>
      </c>
      <c r="F107" s="1271"/>
      <c r="G107" s="1271"/>
      <c r="H107" s="1271"/>
      <c r="I107" s="1272"/>
      <c r="J107" s="1272"/>
      <c r="K107" s="1272"/>
      <c r="L107" s="1272"/>
      <c r="M107" s="1273"/>
      <c r="N107" s="1694">
        <f t="shared" si="6"/>
        <v>18384000</v>
      </c>
      <c r="O107" s="1266"/>
      <c r="P107" s="1266"/>
      <c r="Q107" s="1266"/>
      <c r="R107" s="1266"/>
      <c r="S107" s="1266"/>
    </row>
    <row r="108" spans="1:19" s="1265" customFormat="1" ht="15" customHeight="1" thickBot="1" x14ac:dyDescent="0.25">
      <c r="A108" s="1674"/>
      <c r="B108" s="1660" t="s">
        <v>350</v>
      </c>
      <c r="C108" s="1675"/>
      <c r="D108" s="1546"/>
      <c r="E108" s="1546">
        <f>SUM('6. sz.melléklet'!E40)</f>
        <v>18384000</v>
      </c>
      <c r="F108" s="1546"/>
      <c r="G108" s="1546"/>
      <c r="H108" s="1546"/>
      <c r="I108" s="1676"/>
      <c r="J108" s="1676"/>
      <c r="K108" s="1676"/>
      <c r="L108" s="1676"/>
      <c r="M108" s="1705"/>
      <c r="N108" s="1696">
        <f t="shared" si="6"/>
        <v>18384000</v>
      </c>
      <c r="O108" s="1266"/>
      <c r="P108" s="1266"/>
      <c r="Q108" s="1266"/>
      <c r="R108" s="1266"/>
      <c r="S108" s="1266"/>
    </row>
    <row r="109" spans="1:19" s="1265" customFormat="1" ht="15" customHeight="1" x14ac:dyDescent="0.2">
      <c r="A109" s="1586" t="s">
        <v>271</v>
      </c>
      <c r="B109" s="1550" t="s">
        <v>485</v>
      </c>
      <c r="C109" s="1288"/>
      <c r="D109" s="1288"/>
      <c r="E109" s="1288"/>
      <c r="F109" s="1288"/>
      <c r="G109" s="1288"/>
      <c r="H109" s="1288"/>
      <c r="I109" s="1289"/>
      <c r="J109" s="1289"/>
      <c r="K109" s="1289"/>
      <c r="L109" s="1289"/>
      <c r="M109" s="1290"/>
      <c r="N109" s="1274"/>
      <c r="O109" s="1266"/>
      <c r="P109" s="1266"/>
      <c r="Q109" s="1266"/>
      <c r="R109" s="1266"/>
      <c r="S109" s="1266"/>
    </row>
    <row r="110" spans="1:19" s="1265" customFormat="1" ht="15" customHeight="1" x14ac:dyDescent="0.2">
      <c r="A110" s="1286"/>
      <c r="B110" s="1658" t="s">
        <v>349</v>
      </c>
      <c r="C110" s="1271"/>
      <c r="D110" s="1271"/>
      <c r="E110" s="1271">
        <f>SUM('6. sz.melléklet'!E42)</f>
        <v>4598000</v>
      </c>
      <c r="F110" s="1271"/>
      <c r="G110" s="1271"/>
      <c r="H110" s="1271"/>
      <c r="I110" s="1272"/>
      <c r="J110" s="1272"/>
      <c r="K110" s="1272"/>
      <c r="L110" s="1272"/>
      <c r="M110" s="1273"/>
      <c r="N110" s="1694">
        <f t="shared" si="6"/>
        <v>4598000</v>
      </c>
      <c r="O110" s="1266"/>
      <c r="P110" s="1266"/>
      <c r="Q110" s="1266"/>
      <c r="R110" s="1266"/>
      <c r="S110" s="1266"/>
    </row>
    <row r="111" spans="1:19" s="1265" customFormat="1" ht="15" customHeight="1" thickBot="1" x14ac:dyDescent="0.25">
      <c r="A111" s="1587"/>
      <c r="B111" s="1664" t="s">
        <v>350</v>
      </c>
      <c r="C111" s="1555"/>
      <c r="D111" s="1555"/>
      <c r="E111" s="1555">
        <f>SUM('6. sz.melléklet'!E43)</f>
        <v>4598000</v>
      </c>
      <c r="F111" s="1555"/>
      <c r="G111" s="1555"/>
      <c r="H111" s="1555"/>
      <c r="I111" s="1671"/>
      <c r="J111" s="1671"/>
      <c r="K111" s="1671"/>
      <c r="L111" s="1671"/>
      <c r="M111" s="1704"/>
      <c r="N111" s="1699">
        <f t="shared" si="6"/>
        <v>4598000</v>
      </c>
      <c r="O111" s="1266"/>
      <c r="P111" s="1266"/>
      <c r="Q111" s="1266"/>
      <c r="R111" s="1266"/>
      <c r="S111" s="1266"/>
    </row>
    <row r="112" spans="1:19" s="1265" customFormat="1" ht="15" customHeight="1" x14ac:dyDescent="0.2">
      <c r="A112" s="1586" t="s">
        <v>252</v>
      </c>
      <c r="B112" s="1550" t="s">
        <v>253</v>
      </c>
      <c r="C112" s="1288"/>
      <c r="D112" s="1288"/>
      <c r="E112" s="1288"/>
      <c r="F112" s="1288"/>
      <c r="G112" s="1288"/>
      <c r="H112" s="1288"/>
      <c r="I112" s="1289"/>
      <c r="J112" s="1289"/>
      <c r="K112" s="1289"/>
      <c r="L112" s="1289"/>
      <c r="M112" s="1290"/>
      <c r="N112" s="1274"/>
      <c r="O112" s="1266"/>
      <c r="P112" s="1266"/>
      <c r="Q112" s="1266"/>
      <c r="R112" s="1266"/>
      <c r="S112" s="1266"/>
    </row>
    <row r="113" spans="1:19" s="1265" customFormat="1" ht="15" customHeight="1" x14ac:dyDescent="0.2">
      <c r="A113" s="1286"/>
      <c r="B113" s="1658" t="s">
        <v>349</v>
      </c>
      <c r="C113" s="1271"/>
      <c r="D113" s="1271"/>
      <c r="E113" s="1271">
        <f>SUM('6. sz.melléklet'!E45)</f>
        <v>1702000</v>
      </c>
      <c r="F113" s="1271"/>
      <c r="G113" s="1271"/>
      <c r="H113" s="1271"/>
      <c r="I113" s="1272"/>
      <c r="J113" s="1272"/>
      <c r="K113" s="1272"/>
      <c r="L113" s="1272"/>
      <c r="M113" s="1273"/>
      <c r="N113" s="1694">
        <f t="shared" si="6"/>
        <v>1702000</v>
      </c>
      <c r="O113" s="1266"/>
      <c r="P113" s="1266"/>
      <c r="Q113" s="1266"/>
      <c r="R113" s="1266"/>
      <c r="S113" s="1266"/>
    </row>
    <row r="114" spans="1:19" s="1265" customFormat="1" ht="15" customHeight="1" thickBot="1" x14ac:dyDescent="0.25">
      <c r="A114" s="1587"/>
      <c r="B114" s="1664" t="s">
        <v>350</v>
      </c>
      <c r="C114" s="1555"/>
      <c r="D114" s="1555"/>
      <c r="E114" s="1546">
        <f>SUM('6. sz.melléklet'!E46)</f>
        <v>1702000</v>
      </c>
      <c r="F114" s="1555"/>
      <c r="G114" s="1555"/>
      <c r="H114" s="1555"/>
      <c r="I114" s="1671"/>
      <c r="J114" s="1671"/>
      <c r="K114" s="1671"/>
      <c r="L114" s="1671"/>
      <c r="M114" s="1704"/>
      <c r="N114" s="1699">
        <f t="shared" si="6"/>
        <v>1702000</v>
      </c>
      <c r="O114" s="1266"/>
      <c r="P114" s="1266"/>
      <c r="Q114" s="1266"/>
      <c r="R114" s="1266"/>
      <c r="S114" s="1266"/>
    </row>
    <row r="115" spans="1:19" s="1265" customFormat="1" ht="15" customHeight="1" x14ac:dyDescent="0.2">
      <c r="A115" s="1586" t="s">
        <v>254</v>
      </c>
      <c r="B115" s="1550" t="s">
        <v>108</v>
      </c>
      <c r="C115" s="1288"/>
      <c r="D115" s="1288"/>
      <c r="E115" s="1288"/>
      <c r="F115" s="1288"/>
      <c r="G115" s="1288"/>
      <c r="H115" s="1288"/>
      <c r="I115" s="1289"/>
      <c r="J115" s="1289"/>
      <c r="K115" s="1289"/>
      <c r="L115" s="1289"/>
      <c r="M115" s="1290"/>
      <c r="N115" s="1274"/>
      <c r="O115" s="1266"/>
      <c r="P115" s="1266"/>
      <c r="Q115" s="1266"/>
      <c r="R115" s="1266"/>
      <c r="S115" s="1266"/>
    </row>
    <row r="116" spans="1:19" s="1265" customFormat="1" ht="15" customHeight="1" x14ac:dyDescent="0.2">
      <c r="A116" s="1286"/>
      <c r="B116" s="1658" t="s">
        <v>349</v>
      </c>
      <c r="C116" s="1271"/>
      <c r="D116" s="1271"/>
      <c r="E116" s="1271">
        <f>SUM('6. sz.melléklet'!E48)</f>
        <v>23838000</v>
      </c>
      <c r="F116" s="1271"/>
      <c r="G116" s="1271"/>
      <c r="H116" s="1271">
        <f>SUM('6. sz.melléklet'!H48)</f>
        <v>400000</v>
      </c>
      <c r="I116" s="1272"/>
      <c r="J116" s="1272"/>
      <c r="K116" s="1272"/>
      <c r="L116" s="1272"/>
      <c r="M116" s="1273"/>
      <c r="N116" s="1694">
        <f t="shared" si="6"/>
        <v>24238000</v>
      </c>
      <c r="O116" s="1266"/>
      <c r="P116" s="1266"/>
      <c r="Q116" s="1266"/>
      <c r="R116" s="1266"/>
      <c r="S116" s="1266"/>
    </row>
    <row r="117" spans="1:19" s="1265" customFormat="1" ht="15" customHeight="1" thickBot="1" x14ac:dyDescent="0.25">
      <c r="A117" s="1674"/>
      <c r="B117" s="1660" t="s">
        <v>350</v>
      </c>
      <c r="C117" s="1546"/>
      <c r="D117" s="1546"/>
      <c r="E117" s="1546">
        <f>SUM('6. sz.melléklet'!E49)</f>
        <v>23838000</v>
      </c>
      <c r="F117" s="1546"/>
      <c r="G117" s="1546"/>
      <c r="H117" s="1546">
        <f>SUM('6. sz.melléklet'!H49)</f>
        <v>400000</v>
      </c>
      <c r="I117" s="1676"/>
      <c r="J117" s="1676"/>
      <c r="K117" s="1676"/>
      <c r="L117" s="1676"/>
      <c r="M117" s="1705"/>
      <c r="N117" s="1696">
        <f t="shared" si="6"/>
        <v>24238000</v>
      </c>
      <c r="O117" s="1266"/>
      <c r="P117" s="1266"/>
      <c r="Q117" s="1266"/>
      <c r="R117" s="1266"/>
      <c r="S117" s="1266"/>
    </row>
    <row r="118" spans="1:19" s="1265" customFormat="1" ht="25.5" x14ac:dyDescent="0.2">
      <c r="A118" s="1586" t="s">
        <v>255</v>
      </c>
      <c r="B118" s="1550" t="s">
        <v>110</v>
      </c>
      <c r="C118" s="1288"/>
      <c r="D118" s="1288"/>
      <c r="E118" s="1288"/>
      <c r="F118" s="1288"/>
      <c r="G118" s="1288"/>
      <c r="H118" s="1288"/>
      <c r="I118" s="1289"/>
      <c r="J118" s="1289"/>
      <c r="K118" s="1289"/>
      <c r="L118" s="1289"/>
      <c r="M118" s="1290"/>
      <c r="N118" s="1274"/>
      <c r="O118" s="1266"/>
      <c r="P118" s="1266"/>
      <c r="Q118" s="1266"/>
      <c r="R118" s="1266"/>
      <c r="S118" s="1266"/>
    </row>
    <row r="119" spans="1:19" s="1265" customFormat="1" ht="15" customHeight="1" x14ac:dyDescent="0.2">
      <c r="A119" s="1286"/>
      <c r="B119" s="1658" t="s">
        <v>349</v>
      </c>
      <c r="C119" s="1271">
        <f>SUM('6. sz.melléklet'!C51)</f>
        <v>9126000</v>
      </c>
      <c r="D119" s="1271">
        <f>SUM('6. sz.melléklet'!D51)</f>
        <v>1683000</v>
      </c>
      <c r="E119" s="1271">
        <f>SUM('6. sz.melléklet'!E51)</f>
        <v>1998000</v>
      </c>
      <c r="F119" s="1271"/>
      <c r="G119" s="1271"/>
      <c r="H119" s="1271">
        <f>SUM('6. sz.melléklet'!H51)</f>
        <v>300000</v>
      </c>
      <c r="I119" s="1272"/>
      <c r="J119" s="1272"/>
      <c r="K119" s="1272"/>
      <c r="L119" s="1272"/>
      <c r="M119" s="1273"/>
      <c r="N119" s="1694">
        <f t="shared" si="6"/>
        <v>13107000</v>
      </c>
      <c r="O119" s="1266"/>
      <c r="P119" s="1266"/>
      <c r="Q119" s="1266"/>
      <c r="R119" s="1266"/>
      <c r="S119" s="1266"/>
    </row>
    <row r="120" spans="1:19" s="1265" customFormat="1" ht="15" customHeight="1" thickBot="1" x14ac:dyDescent="0.25">
      <c r="A120" s="1587"/>
      <c r="B120" s="1664" t="s">
        <v>350</v>
      </c>
      <c r="C120" s="1555">
        <f>SUM('6. sz.melléklet'!C52)</f>
        <v>9126000</v>
      </c>
      <c r="D120" s="1555">
        <f>SUM('6. sz.melléklet'!D52)</f>
        <v>1683000</v>
      </c>
      <c r="E120" s="1555">
        <f>SUM('6. sz.melléklet'!E52)</f>
        <v>1998000</v>
      </c>
      <c r="F120" s="1555"/>
      <c r="G120" s="1555"/>
      <c r="H120" s="1555">
        <f>SUM('6. sz.melléklet'!H52)</f>
        <v>300000</v>
      </c>
      <c r="I120" s="1671"/>
      <c r="J120" s="1671"/>
      <c r="K120" s="1671"/>
      <c r="L120" s="1671"/>
      <c r="M120" s="1704"/>
      <c r="N120" s="1699">
        <f t="shared" si="6"/>
        <v>13107000</v>
      </c>
      <c r="O120" s="1266"/>
      <c r="P120" s="1266"/>
      <c r="Q120" s="1266"/>
      <c r="R120" s="1266"/>
      <c r="S120" s="1266"/>
    </row>
    <row r="121" spans="1:19" s="1265" customFormat="1" ht="25.5" x14ac:dyDescent="0.2">
      <c r="A121" s="1586" t="s">
        <v>256</v>
      </c>
      <c r="B121" s="1550" t="s">
        <v>109</v>
      </c>
      <c r="C121" s="1288"/>
      <c r="D121" s="1288"/>
      <c r="E121" s="1288"/>
      <c r="F121" s="1288"/>
      <c r="G121" s="1288"/>
      <c r="H121" s="1288"/>
      <c r="I121" s="1289"/>
      <c r="J121" s="1289"/>
      <c r="K121" s="1289"/>
      <c r="L121" s="1289"/>
      <c r="M121" s="1290"/>
      <c r="N121" s="1274"/>
      <c r="O121" s="1266"/>
      <c r="P121" s="1266"/>
      <c r="Q121" s="1266"/>
      <c r="R121" s="1266"/>
      <c r="S121" s="1266"/>
    </row>
    <row r="122" spans="1:19" s="1265" customFormat="1" ht="15" customHeight="1" x14ac:dyDescent="0.2">
      <c r="A122" s="1286"/>
      <c r="B122" s="1658" t="s">
        <v>349</v>
      </c>
      <c r="C122" s="1271">
        <f>SUM('6. sz.melléklet'!C54)</f>
        <v>447000</v>
      </c>
      <c r="D122" s="1271">
        <f>SUM('6. sz.melléklet'!D54)</f>
        <v>78000</v>
      </c>
      <c r="E122" s="1271"/>
      <c r="F122" s="1271"/>
      <c r="G122" s="1271"/>
      <c r="H122" s="1271"/>
      <c r="I122" s="1272"/>
      <c r="J122" s="1272"/>
      <c r="K122" s="1272"/>
      <c r="L122" s="1272"/>
      <c r="M122" s="1273"/>
      <c r="N122" s="1694">
        <f t="shared" si="6"/>
        <v>525000</v>
      </c>
      <c r="O122" s="1266"/>
      <c r="P122" s="1266"/>
      <c r="Q122" s="1266"/>
      <c r="R122" s="1266"/>
      <c r="S122" s="1266"/>
    </row>
    <row r="123" spans="1:19" s="1265" customFormat="1" ht="15" customHeight="1" thickBot="1" x14ac:dyDescent="0.25">
      <c r="A123" s="1674"/>
      <c r="B123" s="1660" t="s">
        <v>350</v>
      </c>
      <c r="C123" s="1546">
        <f>SUM('6. sz.melléklet'!C55)</f>
        <v>447000</v>
      </c>
      <c r="D123" s="1546">
        <f>SUM('6. sz.melléklet'!D55)</f>
        <v>78000</v>
      </c>
      <c r="E123" s="1546"/>
      <c r="F123" s="1546"/>
      <c r="G123" s="1546"/>
      <c r="H123" s="1546"/>
      <c r="I123" s="1676"/>
      <c r="J123" s="1676"/>
      <c r="K123" s="1676"/>
      <c r="L123" s="1676"/>
      <c r="M123" s="1705"/>
      <c r="N123" s="1696">
        <f t="shared" si="6"/>
        <v>525000</v>
      </c>
      <c r="O123" s="1266"/>
      <c r="P123" s="1266"/>
      <c r="Q123" s="1266"/>
      <c r="R123" s="1266"/>
      <c r="S123" s="1266"/>
    </row>
    <row r="124" spans="1:19" s="1265" customFormat="1" ht="25.5" x14ac:dyDescent="0.2">
      <c r="A124" s="1586" t="s">
        <v>257</v>
      </c>
      <c r="B124" s="1550" t="s">
        <v>258</v>
      </c>
      <c r="C124" s="1288"/>
      <c r="D124" s="1288"/>
      <c r="E124" s="1288"/>
      <c r="F124" s="1288"/>
      <c r="G124" s="1288"/>
      <c r="H124" s="1288"/>
      <c r="I124" s="1289"/>
      <c r="J124" s="1289"/>
      <c r="K124" s="1289"/>
      <c r="L124" s="1289"/>
      <c r="M124" s="1290"/>
      <c r="N124" s="1274"/>
      <c r="O124" s="1266"/>
      <c r="P124" s="1266"/>
      <c r="Q124" s="1266"/>
      <c r="R124" s="1266"/>
      <c r="S124" s="1266"/>
    </row>
    <row r="125" spans="1:19" s="1265" customFormat="1" ht="15" customHeight="1" x14ac:dyDescent="0.2">
      <c r="A125" s="1286"/>
      <c r="B125" s="1658" t="s">
        <v>349</v>
      </c>
      <c r="C125" s="1271">
        <f>SUM('6. sz.melléklet'!C57)</f>
        <v>480000</v>
      </c>
      <c r="D125" s="1271">
        <f>SUM('6. sz.melléklet'!D57)</f>
        <v>95000</v>
      </c>
      <c r="E125" s="1271">
        <f>SUM('6. sz.melléklet'!E57)</f>
        <v>942000</v>
      </c>
      <c r="F125" s="1271"/>
      <c r="G125" s="1271"/>
      <c r="H125" s="1271"/>
      <c r="I125" s="1272">
        <f>SUM('6. sz.melléklet'!I57)</f>
        <v>840000</v>
      </c>
      <c r="J125" s="1272"/>
      <c r="K125" s="1272"/>
      <c r="L125" s="1272"/>
      <c r="M125" s="1273"/>
      <c r="N125" s="1694">
        <f t="shared" si="6"/>
        <v>2357000</v>
      </c>
      <c r="O125" s="1266"/>
      <c r="P125" s="1266"/>
      <c r="Q125" s="1266"/>
      <c r="R125" s="1266"/>
      <c r="S125" s="1266"/>
    </row>
    <row r="126" spans="1:19" s="1265" customFormat="1" ht="15" customHeight="1" thickBot="1" x14ac:dyDescent="0.25">
      <c r="A126" s="1587"/>
      <c r="B126" s="1664" t="s">
        <v>350</v>
      </c>
      <c r="C126" s="1555">
        <f>SUM('6. sz.melléklet'!C58)</f>
        <v>480000</v>
      </c>
      <c r="D126" s="1555">
        <f>SUM('6. sz.melléklet'!D58)</f>
        <v>95000</v>
      </c>
      <c r="E126" s="1555">
        <f>SUM('6. sz.melléklet'!E58)</f>
        <v>942000</v>
      </c>
      <c r="F126" s="1555"/>
      <c r="G126" s="1555"/>
      <c r="H126" s="1555"/>
      <c r="I126" s="1671">
        <f>SUM('6. sz.melléklet'!I58)</f>
        <v>840000</v>
      </c>
      <c r="J126" s="1671"/>
      <c r="K126" s="1671"/>
      <c r="L126" s="1671"/>
      <c r="M126" s="1704"/>
      <c r="N126" s="1699">
        <f t="shared" si="6"/>
        <v>2357000</v>
      </c>
      <c r="O126" s="1266"/>
      <c r="P126" s="1266"/>
      <c r="Q126" s="1266"/>
      <c r="R126" s="1266"/>
      <c r="S126" s="1266"/>
    </row>
    <row r="127" spans="1:19" s="1265" customFormat="1" ht="15" customHeight="1" x14ac:dyDescent="0.2">
      <c r="A127" s="1978" t="s">
        <v>649</v>
      </c>
      <c r="B127" s="1979" t="s">
        <v>650</v>
      </c>
      <c r="C127" s="1727"/>
      <c r="D127" s="1727"/>
      <c r="E127" s="1727"/>
      <c r="F127" s="1727"/>
      <c r="G127" s="1727"/>
      <c r="H127" s="1727"/>
      <c r="I127" s="1728"/>
      <c r="J127" s="1728"/>
      <c r="K127" s="1728"/>
      <c r="L127" s="1728"/>
      <c r="M127" s="1977"/>
      <c r="N127" s="1278"/>
      <c r="O127" s="1266"/>
      <c r="P127" s="1266"/>
      <c r="Q127" s="1266"/>
      <c r="R127" s="1266"/>
      <c r="S127" s="1266"/>
    </row>
    <row r="128" spans="1:19" s="1265" customFormat="1" ht="15" customHeight="1" x14ac:dyDescent="0.2">
      <c r="A128" s="1980"/>
      <c r="B128" s="1667" t="s">
        <v>349</v>
      </c>
      <c r="C128" s="1288"/>
      <c r="D128" s="1288"/>
      <c r="E128" s="1288"/>
      <c r="F128" s="1288"/>
      <c r="G128" s="1288"/>
      <c r="H128" s="1288"/>
      <c r="I128" s="1289"/>
      <c r="J128" s="1289"/>
      <c r="K128" s="1289"/>
      <c r="L128" s="1289"/>
      <c r="M128" s="1290"/>
      <c r="N128" s="1274"/>
      <c r="O128" s="1266"/>
      <c r="P128" s="1266"/>
      <c r="Q128" s="1266"/>
      <c r="R128" s="1266"/>
      <c r="S128" s="1266"/>
    </row>
    <row r="129" spans="1:19" s="1265" customFormat="1" ht="15" customHeight="1" thickBot="1" x14ac:dyDescent="0.25">
      <c r="A129" s="1587"/>
      <c r="B129" s="1664" t="s">
        <v>350</v>
      </c>
      <c r="C129" s="1555"/>
      <c r="D129" s="1555"/>
      <c r="E129" s="1555">
        <f>'6. sz.melléklet'!E61</f>
        <v>2500000</v>
      </c>
      <c r="F129" s="1555"/>
      <c r="G129" s="1555"/>
      <c r="H129" s="1555"/>
      <c r="I129" s="1671"/>
      <c r="J129" s="1671"/>
      <c r="K129" s="1671"/>
      <c r="L129" s="1671"/>
      <c r="M129" s="1704"/>
      <c r="N129" s="1699">
        <f>SUM(E129:M129)</f>
        <v>2500000</v>
      </c>
      <c r="O129" s="1266"/>
      <c r="P129" s="1266"/>
      <c r="Q129" s="1266"/>
      <c r="R129" s="1266"/>
      <c r="S129" s="1266"/>
    </row>
    <row r="130" spans="1:19" s="1265" customFormat="1" ht="15" customHeight="1" x14ac:dyDescent="0.2">
      <c r="A130" s="1586" t="s">
        <v>439</v>
      </c>
      <c r="B130" s="1550" t="s">
        <v>286</v>
      </c>
      <c r="C130" s="1288"/>
      <c r="D130" s="1288"/>
      <c r="E130" s="1288"/>
      <c r="F130" s="1288"/>
      <c r="G130" s="1288"/>
      <c r="H130" s="1288"/>
      <c r="I130" s="1289"/>
      <c r="J130" s="1289"/>
      <c r="K130" s="1289"/>
      <c r="L130" s="1289"/>
      <c r="M130" s="1290"/>
      <c r="N130" s="1274"/>
      <c r="O130" s="1266"/>
      <c r="P130" s="1266"/>
      <c r="Q130" s="1266"/>
      <c r="R130" s="1266"/>
      <c r="S130" s="1266"/>
    </row>
    <row r="131" spans="1:19" s="1265" customFormat="1" ht="15" customHeight="1" x14ac:dyDescent="0.2">
      <c r="A131" s="1286"/>
      <c r="B131" s="1658" t="s">
        <v>349</v>
      </c>
      <c r="C131" s="1271"/>
      <c r="D131" s="1271"/>
      <c r="E131" s="1271"/>
      <c r="F131" s="1271"/>
      <c r="G131" s="1271"/>
      <c r="H131" s="1271"/>
      <c r="I131" s="1272">
        <f>SUM('6. sz.melléklet'!I63)</f>
        <v>1620000</v>
      </c>
      <c r="J131" s="1272"/>
      <c r="K131" s="1272"/>
      <c r="L131" s="1272"/>
      <c r="M131" s="1273"/>
      <c r="N131" s="1694">
        <f t="shared" si="6"/>
        <v>1620000</v>
      </c>
      <c r="O131" s="1266"/>
      <c r="P131" s="1266"/>
      <c r="Q131" s="1266"/>
      <c r="R131" s="1266"/>
      <c r="S131" s="1266"/>
    </row>
    <row r="132" spans="1:19" s="1265" customFormat="1" ht="15" customHeight="1" thickBot="1" x14ac:dyDescent="0.25">
      <c r="A132" s="1587"/>
      <c r="B132" s="1664" t="s">
        <v>350</v>
      </c>
      <c r="C132" s="1555"/>
      <c r="D132" s="1555"/>
      <c r="E132" s="1555"/>
      <c r="F132" s="1555"/>
      <c r="G132" s="1555"/>
      <c r="H132" s="1555"/>
      <c r="I132" s="1671">
        <f>SUM('6. sz.melléklet'!I64)</f>
        <v>1620000</v>
      </c>
      <c r="J132" s="1671"/>
      <c r="K132" s="1671"/>
      <c r="L132" s="1671"/>
      <c r="M132" s="1704"/>
      <c r="N132" s="1699">
        <f t="shared" si="6"/>
        <v>1620000</v>
      </c>
      <c r="O132" s="1266"/>
      <c r="P132" s="1266"/>
      <c r="Q132" s="1266"/>
      <c r="R132" s="1266"/>
      <c r="S132" s="1266"/>
    </row>
    <row r="133" spans="1:19" s="1265" customFormat="1" ht="15" customHeight="1" x14ac:dyDescent="0.2">
      <c r="A133" s="1586" t="s">
        <v>259</v>
      </c>
      <c r="B133" s="1550" t="s">
        <v>260</v>
      </c>
      <c r="C133" s="1288"/>
      <c r="D133" s="1288"/>
      <c r="E133" s="1288"/>
      <c r="F133" s="1288"/>
      <c r="G133" s="1288"/>
      <c r="H133" s="1288"/>
      <c r="I133" s="1289"/>
      <c r="J133" s="1289"/>
      <c r="K133" s="1289"/>
      <c r="L133" s="1289"/>
      <c r="M133" s="1290"/>
      <c r="N133" s="1274"/>
      <c r="O133" s="1266"/>
      <c r="P133" s="1266"/>
      <c r="Q133" s="1266"/>
      <c r="R133" s="1266"/>
      <c r="S133" s="1266"/>
    </row>
    <row r="134" spans="1:19" s="1265" customFormat="1" ht="15" customHeight="1" x14ac:dyDescent="0.2">
      <c r="A134" s="1286"/>
      <c r="B134" s="1658" t="s">
        <v>349</v>
      </c>
      <c r="C134" s="1271"/>
      <c r="D134" s="1271"/>
      <c r="E134" s="1271">
        <f>SUM('6. sz.melléklet'!E66)</f>
        <v>4900000</v>
      </c>
      <c r="F134" s="1271"/>
      <c r="G134" s="1271"/>
      <c r="H134" s="1271"/>
      <c r="I134" s="1272"/>
      <c r="J134" s="1272"/>
      <c r="K134" s="1272"/>
      <c r="L134" s="1272"/>
      <c r="M134" s="1273"/>
      <c r="N134" s="1694">
        <f>SUM(C134:M134)</f>
        <v>4900000</v>
      </c>
      <c r="O134" s="1266"/>
      <c r="P134" s="1266"/>
      <c r="Q134" s="1266"/>
      <c r="R134" s="1266"/>
      <c r="S134" s="1266"/>
    </row>
    <row r="135" spans="1:19" s="1265" customFormat="1" ht="15" customHeight="1" thickBot="1" x14ac:dyDescent="0.25">
      <c r="A135" s="1674"/>
      <c r="B135" s="1660" t="s">
        <v>350</v>
      </c>
      <c r="C135" s="1546"/>
      <c r="D135" s="1546"/>
      <c r="E135" s="1546">
        <f>SUM('6. sz.melléklet'!E67)</f>
        <v>4900000</v>
      </c>
      <c r="F135" s="1546"/>
      <c r="G135" s="1546"/>
      <c r="H135" s="1546"/>
      <c r="I135" s="1676"/>
      <c r="J135" s="1676"/>
      <c r="K135" s="1676"/>
      <c r="L135" s="1676"/>
      <c r="M135" s="1705"/>
      <c r="N135" s="1696">
        <f>SUM(C135:M135)</f>
        <v>4900000</v>
      </c>
      <c r="O135" s="1266"/>
      <c r="P135" s="1266"/>
      <c r="Q135" s="1266"/>
      <c r="R135" s="1266"/>
      <c r="S135" s="1266"/>
    </row>
    <row r="136" spans="1:19" s="1265" customFormat="1" ht="15" customHeight="1" x14ac:dyDescent="0.2">
      <c r="A136" s="1586" t="s">
        <v>273</v>
      </c>
      <c r="B136" s="1550" t="s">
        <v>133</v>
      </c>
      <c r="C136" s="1288"/>
      <c r="D136" s="1288"/>
      <c r="E136" s="1288"/>
      <c r="F136" s="1288"/>
      <c r="G136" s="1288"/>
      <c r="H136" s="1288"/>
      <c r="I136" s="1289"/>
      <c r="J136" s="1289"/>
      <c r="K136" s="1289"/>
      <c r="L136" s="1289"/>
      <c r="M136" s="1290"/>
      <c r="N136" s="1274"/>
      <c r="O136" s="1266"/>
      <c r="P136" s="1266"/>
      <c r="Q136" s="1266"/>
      <c r="R136" s="1266"/>
      <c r="S136" s="1266"/>
    </row>
    <row r="137" spans="1:19" s="1265" customFormat="1" ht="15" customHeight="1" x14ac:dyDescent="0.2">
      <c r="A137" s="1286"/>
      <c r="B137" s="1658" t="s">
        <v>349</v>
      </c>
      <c r="C137" s="1271"/>
      <c r="D137" s="1271"/>
      <c r="E137" s="1271"/>
      <c r="F137" s="1271"/>
      <c r="G137" s="1271"/>
      <c r="H137" s="1271"/>
      <c r="I137" s="1272">
        <f>SUM('6. sz.melléklet'!I69)</f>
        <v>66632000</v>
      </c>
      <c r="J137" s="1272"/>
      <c r="K137" s="1272"/>
      <c r="L137" s="1272"/>
      <c r="M137" s="1273"/>
      <c r="N137" s="1694">
        <f>SUM(C137:M137)</f>
        <v>66632000</v>
      </c>
      <c r="O137" s="1266"/>
      <c r="P137" s="1266"/>
      <c r="Q137" s="1266"/>
      <c r="R137" s="1266"/>
      <c r="S137" s="1266"/>
    </row>
    <row r="138" spans="1:19" s="1265" customFormat="1" ht="15" customHeight="1" thickBot="1" x14ac:dyDescent="0.25">
      <c r="A138" s="1587"/>
      <c r="B138" s="1664" t="s">
        <v>350</v>
      </c>
      <c r="C138" s="1555"/>
      <c r="D138" s="1555"/>
      <c r="E138" s="1555"/>
      <c r="F138" s="1555"/>
      <c r="G138" s="1555"/>
      <c r="H138" s="1555"/>
      <c r="I138" s="1272">
        <f>SUM('6. sz.melléklet'!I70)</f>
        <v>66632000</v>
      </c>
      <c r="J138" s="1671"/>
      <c r="K138" s="1671"/>
      <c r="L138" s="1671"/>
      <c r="M138" s="1704"/>
      <c r="N138" s="1699">
        <f>SUM(C138:M138)</f>
        <v>66632000</v>
      </c>
      <c r="O138" s="1266"/>
      <c r="P138" s="1266"/>
      <c r="Q138" s="1266"/>
      <c r="R138" s="1266"/>
      <c r="S138" s="1266"/>
    </row>
    <row r="139" spans="1:19" s="1265" customFormat="1" ht="25.5" x14ac:dyDescent="0.2">
      <c r="A139" s="1586" t="s">
        <v>274</v>
      </c>
      <c r="B139" s="1550" t="s">
        <v>275</v>
      </c>
      <c r="C139" s="1288"/>
      <c r="D139" s="1288"/>
      <c r="E139" s="1288"/>
      <c r="F139" s="1288"/>
      <c r="G139" s="1288"/>
      <c r="H139" s="1288"/>
      <c r="I139" s="1289"/>
      <c r="J139" s="1289"/>
      <c r="K139" s="1289"/>
      <c r="L139" s="1289"/>
      <c r="M139" s="1290"/>
      <c r="N139" s="1274"/>
      <c r="O139" s="1266"/>
      <c r="P139" s="1266"/>
      <c r="Q139" s="1266"/>
      <c r="R139" s="1266"/>
      <c r="S139" s="1266"/>
    </row>
    <row r="140" spans="1:19" s="1265" customFormat="1" ht="15" customHeight="1" x14ac:dyDescent="0.2">
      <c r="A140" s="1286"/>
      <c r="B140" s="1658" t="s">
        <v>349</v>
      </c>
      <c r="C140" s="1271"/>
      <c r="D140" s="1271"/>
      <c r="E140" s="1271"/>
      <c r="F140" s="1271"/>
      <c r="G140" s="1271"/>
      <c r="H140" s="1271"/>
      <c r="I140" s="1272">
        <f>'6. sz.melléklet'!I72</f>
        <v>9303226</v>
      </c>
      <c r="J140" s="1272">
        <f>SUM('6. sz.melléklet'!J72)</f>
        <v>23080050</v>
      </c>
      <c r="K140" s="1272"/>
      <c r="L140" s="1272"/>
      <c r="M140" s="1273"/>
      <c r="N140" s="1694">
        <f>SUM(C140:M140)</f>
        <v>32383276</v>
      </c>
      <c r="O140" s="1266"/>
      <c r="P140" s="1266"/>
      <c r="Q140" s="1266"/>
      <c r="R140" s="1266"/>
      <c r="S140" s="1266"/>
    </row>
    <row r="141" spans="1:19" s="1265" customFormat="1" ht="15" customHeight="1" thickBot="1" x14ac:dyDescent="0.25">
      <c r="A141" s="1587"/>
      <c r="B141" s="1664" t="s">
        <v>350</v>
      </c>
      <c r="C141" s="1555"/>
      <c r="D141" s="1555"/>
      <c r="E141" s="1555"/>
      <c r="F141" s="1555"/>
      <c r="G141" s="1555"/>
      <c r="H141" s="1555"/>
      <c r="I141" s="1676">
        <f>'6. sz.melléklet'!I73</f>
        <v>9303226</v>
      </c>
      <c r="J141" s="1671">
        <f>SUM('6. sz.melléklet'!J73)</f>
        <v>23080050</v>
      </c>
      <c r="K141" s="1671"/>
      <c r="L141" s="1671"/>
      <c r="M141" s="1704"/>
      <c r="N141" s="1699">
        <f>SUM(C141:M141)</f>
        <v>32383276</v>
      </c>
      <c r="O141" s="1266"/>
      <c r="P141" s="1266"/>
      <c r="Q141" s="1266"/>
      <c r="R141" s="1266"/>
      <c r="S141" s="1266"/>
    </row>
    <row r="142" spans="1:19" s="1265" customFormat="1" ht="15" customHeight="1" x14ac:dyDescent="0.2">
      <c r="A142" s="1586" t="s">
        <v>377</v>
      </c>
      <c r="B142" s="1550" t="s">
        <v>387</v>
      </c>
      <c r="C142" s="1288"/>
      <c r="D142" s="1288"/>
      <c r="E142" s="1288"/>
      <c r="F142" s="1288"/>
      <c r="G142" s="1288"/>
      <c r="H142" s="1288"/>
      <c r="I142" s="1289"/>
      <c r="J142" s="1289"/>
      <c r="K142" s="1289"/>
      <c r="L142" s="1289"/>
      <c r="M142" s="1290"/>
      <c r="N142" s="1274"/>
      <c r="O142" s="1266"/>
      <c r="P142" s="1266"/>
      <c r="Q142" s="1266"/>
      <c r="R142" s="1266"/>
      <c r="S142" s="1266"/>
    </row>
    <row r="143" spans="1:19" s="1265" customFormat="1" ht="15" customHeight="1" x14ac:dyDescent="0.2">
      <c r="A143" s="1286"/>
      <c r="B143" s="1658" t="s">
        <v>349</v>
      </c>
      <c r="C143" s="1271"/>
      <c r="D143" s="1271"/>
      <c r="E143" s="1271">
        <f>SUM('6. sz.melléklet'!E75)</f>
        <v>21849000</v>
      </c>
      <c r="F143" s="1271"/>
      <c r="G143" s="1271"/>
      <c r="H143" s="1271"/>
      <c r="I143" s="1272"/>
      <c r="J143" s="1272"/>
      <c r="K143" s="1272"/>
      <c r="L143" s="1272"/>
      <c r="M143" s="1273"/>
      <c r="N143" s="1694">
        <f>SUM(C143:M143)</f>
        <v>21849000</v>
      </c>
      <c r="O143" s="1266"/>
      <c r="P143" s="1266"/>
      <c r="Q143" s="1266"/>
      <c r="R143" s="1266"/>
      <c r="S143" s="1266"/>
    </row>
    <row r="144" spans="1:19" s="1265" customFormat="1" ht="15" customHeight="1" thickBot="1" x14ac:dyDescent="0.25">
      <c r="A144" s="1587"/>
      <c r="B144" s="1664" t="s">
        <v>350</v>
      </c>
      <c r="C144" s="1555"/>
      <c r="D144" s="1555"/>
      <c r="E144" s="1555">
        <f>SUM('6. sz.melléklet'!E76)</f>
        <v>21849000</v>
      </c>
      <c r="F144" s="1555"/>
      <c r="G144" s="1555"/>
      <c r="H144" s="1555"/>
      <c r="I144" s="1671"/>
      <c r="J144" s="1671"/>
      <c r="K144" s="1671"/>
      <c r="L144" s="1671"/>
      <c r="M144" s="1704"/>
      <c r="N144" s="1699">
        <f>SUM(C144:M144)</f>
        <v>21849000</v>
      </c>
      <c r="O144" s="1266"/>
      <c r="P144" s="1266"/>
      <c r="Q144" s="1266"/>
      <c r="R144" s="1266"/>
      <c r="S144" s="1266"/>
    </row>
    <row r="145" spans="1:19" s="1269" customFormat="1" ht="25.5" x14ac:dyDescent="0.2">
      <c r="A145" s="1589" t="s">
        <v>503</v>
      </c>
      <c r="B145" s="1590" t="s">
        <v>504</v>
      </c>
      <c r="C145" s="1577"/>
      <c r="D145" s="1577"/>
      <c r="E145" s="1577"/>
      <c r="F145" s="1577"/>
      <c r="G145" s="1577"/>
      <c r="H145" s="1577"/>
      <c r="I145" s="1706"/>
      <c r="J145" s="1706"/>
      <c r="K145" s="1706"/>
      <c r="L145" s="1706"/>
      <c r="M145" s="1707"/>
      <c r="N145" s="1708"/>
      <c r="O145" s="1268"/>
      <c r="P145" s="1268"/>
      <c r="Q145" s="1268"/>
      <c r="R145" s="1268"/>
      <c r="S145" s="1268"/>
    </row>
    <row r="146" spans="1:19" s="1269" customFormat="1" ht="15" customHeight="1" x14ac:dyDescent="0.2">
      <c r="A146" s="1592"/>
      <c r="B146" s="1709" t="s">
        <v>349</v>
      </c>
      <c r="C146" s="1594"/>
      <c r="D146" s="1594"/>
      <c r="E146" s="1594">
        <f>'6. sz.melléklet'!E78</f>
        <v>4499483</v>
      </c>
      <c r="F146" s="1594"/>
      <c r="G146" s="1594"/>
      <c r="H146" s="1594">
        <f>SUM('6. sz.melléklet'!H78)</f>
        <v>384101433</v>
      </c>
      <c r="I146" s="1710"/>
      <c r="J146" s="1710"/>
      <c r="K146" s="1710"/>
      <c r="L146" s="1710"/>
      <c r="M146" s="1711"/>
      <c r="N146" s="1712">
        <f>SUM(C146:M146)</f>
        <v>388600916</v>
      </c>
      <c r="O146" s="1268"/>
      <c r="P146" s="1268"/>
      <c r="Q146" s="1268"/>
      <c r="R146" s="1268"/>
      <c r="S146" s="1268"/>
    </row>
    <row r="147" spans="1:19" s="1269" customFormat="1" ht="15" customHeight="1" thickBot="1" x14ac:dyDescent="0.25">
      <c r="A147" s="1279"/>
      <c r="B147" s="1750" t="s">
        <v>350</v>
      </c>
      <c r="C147" s="1280">
        <f>'6. sz.melléklet'!C79</f>
        <v>200000</v>
      </c>
      <c r="D147" s="1280">
        <f>'6. sz.melléklet'!D79</f>
        <v>35000</v>
      </c>
      <c r="E147" s="1930">
        <f>'6. sz.melléklet'!E79</f>
        <v>4499483</v>
      </c>
      <c r="F147" s="1930"/>
      <c r="G147" s="1930"/>
      <c r="H147" s="1930">
        <f>SUM('6. sz.melléklet'!H79)</f>
        <v>307011457</v>
      </c>
      <c r="I147" s="1281"/>
      <c r="J147" s="1281"/>
      <c r="K147" s="1281"/>
      <c r="L147" s="1281"/>
      <c r="M147" s="1282"/>
      <c r="N147" s="1751">
        <f>SUM(C147:M147)</f>
        <v>311745940</v>
      </c>
      <c r="O147" s="1268"/>
      <c r="P147" s="1268"/>
      <c r="Q147" s="1268"/>
      <c r="R147" s="1268"/>
      <c r="S147" s="1268"/>
    </row>
    <row r="148" spans="1:19" s="1265" customFormat="1" ht="25.5" x14ac:dyDescent="0.2">
      <c r="A148" s="1549" t="s">
        <v>435</v>
      </c>
      <c r="B148" s="1550" t="s">
        <v>436</v>
      </c>
      <c r="C148" s="1288"/>
      <c r="D148" s="1288"/>
      <c r="E148" s="1288"/>
      <c r="F148" s="1288"/>
      <c r="G148" s="1288"/>
      <c r="H148" s="1288"/>
      <c r="I148" s="1289"/>
      <c r="J148" s="1289"/>
      <c r="K148" s="1289"/>
      <c r="L148" s="1289"/>
      <c r="M148" s="1290"/>
      <c r="N148" s="1274"/>
      <c r="O148" s="1266"/>
      <c r="P148" s="1266"/>
      <c r="Q148" s="1266"/>
      <c r="R148" s="1266"/>
      <c r="S148" s="1266"/>
    </row>
    <row r="149" spans="1:19" s="1265" customFormat="1" ht="15" customHeight="1" x14ac:dyDescent="0.2">
      <c r="A149" s="1541"/>
      <c r="B149" s="1371" t="s">
        <v>349</v>
      </c>
      <c r="C149" s="1271"/>
      <c r="D149" s="1271"/>
      <c r="E149" s="1271">
        <f>SUM('6. sz.melléklet'!E81)</f>
        <v>603000</v>
      </c>
      <c r="F149" s="1271"/>
      <c r="G149" s="1271"/>
      <c r="H149" s="1271"/>
      <c r="I149" s="1272"/>
      <c r="J149" s="1272"/>
      <c r="K149" s="1272"/>
      <c r="L149" s="1272"/>
      <c r="M149" s="1273"/>
      <c r="N149" s="1694">
        <f>SUM(E149:M149)</f>
        <v>603000</v>
      </c>
      <c r="O149" s="1266"/>
      <c r="P149" s="1266"/>
      <c r="Q149" s="1266"/>
      <c r="R149" s="1266"/>
      <c r="S149" s="1266"/>
    </row>
    <row r="150" spans="1:19" s="1265" customFormat="1" ht="15" customHeight="1" thickBot="1" x14ac:dyDescent="0.25">
      <c r="A150" s="1553"/>
      <c r="B150" s="1554" t="s">
        <v>350</v>
      </c>
      <c r="C150" s="1555"/>
      <c r="D150" s="1555"/>
      <c r="E150" s="1555">
        <f>SUM('6. sz.melléklet'!E82)</f>
        <v>603000</v>
      </c>
      <c r="F150" s="1555"/>
      <c r="G150" s="1555"/>
      <c r="H150" s="1555"/>
      <c r="I150" s="1671"/>
      <c r="J150" s="1671"/>
      <c r="K150" s="1671"/>
      <c r="L150" s="1671"/>
      <c r="M150" s="1704"/>
      <c r="N150" s="1699">
        <f>SUM(E150:M150)</f>
        <v>603000</v>
      </c>
      <c r="O150" s="1266"/>
      <c r="P150" s="1266"/>
      <c r="Q150" s="1266"/>
      <c r="R150" s="1266"/>
      <c r="S150" s="1266"/>
    </row>
    <row r="151" spans="1:19" s="1265" customFormat="1" ht="15" customHeight="1" x14ac:dyDescent="0.2">
      <c r="A151" s="1586" t="s">
        <v>261</v>
      </c>
      <c r="B151" s="1550" t="s">
        <v>111</v>
      </c>
      <c r="C151" s="1288"/>
      <c r="D151" s="1288"/>
      <c r="E151" s="1288"/>
      <c r="F151" s="1288"/>
      <c r="G151" s="1288"/>
      <c r="H151" s="1288"/>
      <c r="I151" s="1289"/>
      <c r="J151" s="1289"/>
      <c r="K151" s="1289"/>
      <c r="L151" s="1289"/>
      <c r="M151" s="1290"/>
      <c r="N151" s="1274"/>
      <c r="O151" s="1266"/>
      <c r="P151" s="1266"/>
      <c r="Q151" s="1266"/>
      <c r="R151" s="1266"/>
      <c r="S151" s="1266"/>
    </row>
    <row r="152" spans="1:19" s="1265" customFormat="1" ht="15" customHeight="1" x14ac:dyDescent="0.2">
      <c r="A152" s="1286"/>
      <c r="B152" s="1658" t="s">
        <v>349</v>
      </c>
      <c r="C152" s="1271"/>
      <c r="D152" s="1271"/>
      <c r="E152" s="1271">
        <f>SUM('6. sz.melléklet'!E84)</f>
        <v>1170000</v>
      </c>
      <c r="F152" s="1271"/>
      <c r="G152" s="1271"/>
      <c r="H152" s="1271"/>
      <c r="I152" s="1272"/>
      <c r="J152" s="1272"/>
      <c r="K152" s="1272"/>
      <c r="L152" s="1272"/>
      <c r="M152" s="1273"/>
      <c r="N152" s="1694">
        <f>SUM(C152:M152)</f>
        <v>1170000</v>
      </c>
      <c r="O152" s="1266"/>
      <c r="P152" s="1266"/>
      <c r="Q152" s="1266"/>
      <c r="R152" s="1266"/>
      <c r="S152" s="1266"/>
    </row>
    <row r="153" spans="1:19" s="1265" customFormat="1" ht="15" customHeight="1" thickBot="1" x14ac:dyDescent="0.25">
      <c r="A153" s="1587"/>
      <c r="B153" s="1664" t="s">
        <v>350</v>
      </c>
      <c r="C153" s="1555"/>
      <c r="D153" s="1555"/>
      <c r="E153" s="1546">
        <f>SUM('6. sz.melléklet'!E85)</f>
        <v>1170000</v>
      </c>
      <c r="F153" s="1555"/>
      <c r="G153" s="1555"/>
      <c r="H153" s="1555"/>
      <c r="I153" s="1671"/>
      <c r="J153" s="1671"/>
      <c r="K153" s="1671"/>
      <c r="L153" s="1671"/>
      <c r="M153" s="1704"/>
      <c r="N153" s="1699">
        <f>SUM(C153:M153)</f>
        <v>1170000</v>
      </c>
      <c r="O153" s="1266"/>
      <c r="P153" s="1266"/>
      <c r="Q153" s="1266"/>
      <c r="R153" s="1266"/>
      <c r="S153" s="1266"/>
    </row>
    <row r="154" spans="1:19" s="1265" customFormat="1" ht="21.75" customHeight="1" x14ac:dyDescent="0.2">
      <c r="A154" s="1586" t="s">
        <v>262</v>
      </c>
      <c r="B154" s="1550" t="s">
        <v>263</v>
      </c>
      <c r="C154" s="1288"/>
      <c r="D154" s="1288"/>
      <c r="E154" s="1288"/>
      <c r="F154" s="1288"/>
      <c r="G154" s="1288"/>
      <c r="H154" s="1288"/>
      <c r="I154" s="1289"/>
      <c r="J154" s="1289"/>
      <c r="K154" s="1289"/>
      <c r="L154" s="1289"/>
      <c r="M154" s="1290"/>
      <c r="N154" s="1274"/>
      <c r="O154" s="1266"/>
      <c r="P154" s="1266"/>
      <c r="Q154" s="1266"/>
      <c r="R154" s="1266"/>
      <c r="S154" s="1266"/>
    </row>
    <row r="155" spans="1:19" s="1265" customFormat="1" ht="15" customHeight="1" x14ac:dyDescent="0.2">
      <c r="A155" s="1286"/>
      <c r="B155" s="1658" t="s">
        <v>349</v>
      </c>
      <c r="C155" s="1271"/>
      <c r="D155" s="1271"/>
      <c r="E155" s="1271"/>
      <c r="F155" s="1271">
        <f>SUM('6. sz.melléklet'!F87)</f>
        <v>500000</v>
      </c>
      <c r="G155" s="1271"/>
      <c r="H155" s="1271"/>
      <c r="I155" s="1272"/>
      <c r="J155" s="1272"/>
      <c r="K155" s="1272"/>
      <c r="L155" s="1272"/>
      <c r="M155" s="1273"/>
      <c r="N155" s="1697">
        <f>SUM(C155:M155)</f>
        <v>500000</v>
      </c>
      <c r="O155" s="1266"/>
      <c r="P155" s="1266"/>
      <c r="Q155" s="1266"/>
      <c r="R155" s="1266"/>
      <c r="S155" s="1266"/>
    </row>
    <row r="156" spans="1:19" s="1265" customFormat="1" ht="15" customHeight="1" thickBot="1" x14ac:dyDescent="0.25">
      <c r="A156" s="1674"/>
      <c r="B156" s="1660" t="s">
        <v>350</v>
      </c>
      <c r="C156" s="1546"/>
      <c r="D156" s="1546"/>
      <c r="E156" s="1546"/>
      <c r="F156" s="1546">
        <f>SUM('6. sz.melléklet'!F88)</f>
        <v>500000</v>
      </c>
      <c r="G156" s="1546"/>
      <c r="H156" s="1546"/>
      <c r="I156" s="1676"/>
      <c r="J156" s="1676"/>
      <c r="K156" s="1676"/>
      <c r="L156" s="1676"/>
      <c r="M156" s="1705"/>
      <c r="N156" s="1976">
        <f>SUM(C156:M156)</f>
        <v>500000</v>
      </c>
      <c r="O156" s="1266"/>
      <c r="P156" s="1266"/>
      <c r="Q156" s="1266"/>
      <c r="R156" s="1266"/>
      <c r="S156" s="1266"/>
    </row>
    <row r="157" spans="1:19" s="1269" customFormat="1" ht="15" customHeight="1" x14ac:dyDescent="0.2">
      <c r="A157" s="1586" t="s">
        <v>474</v>
      </c>
      <c r="B157" s="1550" t="s">
        <v>475</v>
      </c>
      <c r="C157" s="1288"/>
      <c r="D157" s="1288"/>
      <c r="E157" s="1288"/>
      <c r="F157" s="1288"/>
      <c r="G157" s="1288"/>
      <c r="H157" s="1288"/>
      <c r="I157" s="1289"/>
      <c r="J157" s="1289"/>
      <c r="K157" s="1289"/>
      <c r="L157" s="1289"/>
      <c r="M157" s="1290"/>
      <c r="N157" s="1692"/>
      <c r="O157" s="1268"/>
      <c r="P157" s="1268"/>
      <c r="Q157" s="1268"/>
      <c r="R157" s="1268"/>
      <c r="S157" s="1268"/>
    </row>
    <row r="158" spans="1:19" s="1269" customFormat="1" ht="15" customHeight="1" x14ac:dyDescent="0.2">
      <c r="A158" s="1286"/>
      <c r="B158" s="1658" t="s">
        <v>349</v>
      </c>
      <c r="C158" s="1271"/>
      <c r="D158" s="1271"/>
      <c r="E158" s="1271"/>
      <c r="F158" s="1271">
        <f>SUM('6. sz.melléklet'!F90)</f>
        <v>0</v>
      </c>
      <c r="G158" s="1271"/>
      <c r="H158" s="1271"/>
      <c r="I158" s="1272"/>
      <c r="J158" s="1272"/>
      <c r="K158" s="1272"/>
      <c r="L158" s="1272"/>
      <c r="M158" s="1273"/>
      <c r="N158" s="1697">
        <f t="shared" ref="N158" si="7">SUM(C158:M158)</f>
        <v>0</v>
      </c>
      <c r="O158" s="1268"/>
      <c r="P158" s="1268"/>
      <c r="Q158" s="1268"/>
      <c r="R158" s="1268"/>
      <c r="S158" s="1268"/>
    </row>
    <row r="159" spans="1:19" s="1269" customFormat="1" ht="15" customHeight="1" thickBot="1" x14ac:dyDescent="0.25">
      <c r="A159" s="1279"/>
      <c r="B159" s="1750" t="s">
        <v>350</v>
      </c>
      <c r="C159" s="1280"/>
      <c r="D159" s="1280"/>
      <c r="E159" s="1280"/>
      <c r="F159" s="1280"/>
      <c r="G159" s="1280"/>
      <c r="H159" s="1280"/>
      <c r="I159" s="1281"/>
      <c r="J159" s="1281"/>
      <c r="K159" s="1281"/>
      <c r="L159" s="1281"/>
      <c r="M159" s="1282"/>
      <c r="N159" s="1975"/>
      <c r="O159" s="1268"/>
      <c r="P159" s="1268"/>
      <c r="Q159" s="1268"/>
      <c r="R159" s="1268"/>
      <c r="S159" s="1268"/>
    </row>
    <row r="160" spans="1:19" s="1265" customFormat="1" ht="15" customHeight="1" x14ac:dyDescent="0.2">
      <c r="A160" s="1586" t="s">
        <v>264</v>
      </c>
      <c r="B160" s="1550" t="s">
        <v>265</v>
      </c>
      <c r="C160" s="1288"/>
      <c r="D160" s="1288"/>
      <c r="E160" s="1288"/>
      <c r="F160" s="1288"/>
      <c r="G160" s="1288"/>
      <c r="H160" s="1288"/>
      <c r="I160" s="1289"/>
      <c r="J160" s="1289"/>
      <c r="K160" s="1289"/>
      <c r="L160" s="1289"/>
      <c r="M160" s="1290"/>
      <c r="N160" s="1274"/>
      <c r="O160" s="1266"/>
      <c r="P160" s="1266"/>
      <c r="Q160" s="1266"/>
      <c r="R160" s="1266"/>
      <c r="S160" s="1266"/>
    </row>
    <row r="161" spans="1:19" s="1265" customFormat="1" ht="15" customHeight="1" x14ac:dyDescent="0.2">
      <c r="A161" s="1286"/>
      <c r="B161" s="1658" t="s">
        <v>349</v>
      </c>
      <c r="C161" s="1271"/>
      <c r="D161" s="1271"/>
      <c r="E161" s="1271"/>
      <c r="F161" s="1271">
        <f>SUM('6. sz.melléklet'!F93)</f>
        <v>0</v>
      </c>
      <c r="G161" s="1271"/>
      <c r="H161" s="1271"/>
      <c r="I161" s="1272"/>
      <c r="J161" s="1272"/>
      <c r="K161" s="1272"/>
      <c r="L161" s="1272"/>
      <c r="M161" s="1273"/>
      <c r="N161" s="1694">
        <f>SUM(C161:M161)</f>
        <v>0</v>
      </c>
      <c r="O161" s="1266"/>
      <c r="P161" s="1266"/>
      <c r="Q161" s="1266"/>
      <c r="R161" s="1266"/>
      <c r="S161" s="1266"/>
    </row>
    <row r="162" spans="1:19" s="1265" customFormat="1" ht="15" customHeight="1" thickBot="1" x14ac:dyDescent="0.25">
      <c r="A162" s="1587"/>
      <c r="B162" s="1664" t="s">
        <v>350</v>
      </c>
      <c r="C162" s="1555"/>
      <c r="D162" s="1555"/>
      <c r="E162" s="1555"/>
      <c r="F162" s="1555">
        <f>SUM('6. sz.melléklet'!F94)</f>
        <v>0</v>
      </c>
      <c r="G162" s="1555"/>
      <c r="H162" s="1555"/>
      <c r="I162" s="1671"/>
      <c r="J162" s="1671"/>
      <c r="K162" s="1671"/>
      <c r="L162" s="1671"/>
      <c r="M162" s="1704"/>
      <c r="N162" s="1699">
        <f>SUM(C162:M162)</f>
        <v>0</v>
      </c>
      <c r="O162" s="1266"/>
      <c r="P162" s="1266"/>
      <c r="Q162" s="1266"/>
      <c r="R162" s="1266"/>
      <c r="S162" s="1266"/>
    </row>
    <row r="163" spans="1:19" s="1265" customFormat="1" ht="15" customHeight="1" x14ac:dyDescent="0.2">
      <c r="A163" s="1586" t="s">
        <v>266</v>
      </c>
      <c r="B163" s="1550" t="s">
        <v>267</v>
      </c>
      <c r="C163" s="1288"/>
      <c r="D163" s="1288"/>
      <c r="E163" s="1288"/>
      <c r="F163" s="1288"/>
      <c r="G163" s="1288"/>
      <c r="H163" s="1288"/>
      <c r="I163" s="1289"/>
      <c r="J163" s="1289"/>
      <c r="K163" s="1289"/>
      <c r="L163" s="1289"/>
      <c r="M163" s="1290"/>
      <c r="N163" s="1274"/>
      <c r="O163" s="1266"/>
      <c r="P163" s="1266"/>
      <c r="Q163" s="1266"/>
      <c r="R163" s="1266"/>
      <c r="S163" s="1266"/>
    </row>
    <row r="164" spans="1:19" s="1265" customFormat="1" ht="15" customHeight="1" x14ac:dyDescent="0.2">
      <c r="A164" s="1286"/>
      <c r="B164" s="1658" t="s">
        <v>349</v>
      </c>
      <c r="C164" s="1271"/>
      <c r="D164" s="1271"/>
      <c r="E164" s="1271"/>
      <c r="F164" s="1271">
        <f>SUM('6. sz.melléklet'!F99)</f>
        <v>23396000</v>
      </c>
      <c r="G164" s="1271"/>
      <c r="H164" s="1271"/>
      <c r="I164" s="1272">
        <f>'6. sz.melléklet'!I99</f>
        <v>1000000</v>
      </c>
      <c r="J164" s="1272"/>
      <c r="K164" s="1272"/>
      <c r="L164" s="1272"/>
      <c r="M164" s="1273"/>
      <c r="N164" s="1694">
        <f>SUM(C164:M164)</f>
        <v>24396000</v>
      </c>
      <c r="O164" s="1266"/>
      <c r="P164" s="1266"/>
      <c r="Q164" s="1266"/>
      <c r="R164" s="1266"/>
      <c r="S164" s="1266"/>
    </row>
    <row r="165" spans="1:19" s="1265" customFormat="1" ht="15" customHeight="1" thickBot="1" x14ac:dyDescent="0.25">
      <c r="A165" s="1587"/>
      <c r="B165" s="1664" t="s">
        <v>350</v>
      </c>
      <c r="C165" s="1555"/>
      <c r="D165" s="1555"/>
      <c r="E165" s="1555"/>
      <c r="F165" s="1555">
        <f>SUM('6. sz.melléklet'!F100)</f>
        <v>23396000</v>
      </c>
      <c r="G165" s="1555"/>
      <c r="H165" s="1555"/>
      <c r="I165" s="1676">
        <f>'6. sz.melléklet'!I100</f>
        <v>1000000</v>
      </c>
      <c r="J165" s="1671"/>
      <c r="K165" s="1671"/>
      <c r="L165" s="1671"/>
      <c r="M165" s="1704"/>
      <c r="N165" s="1699">
        <f>SUM(C165:M165)</f>
        <v>24396000</v>
      </c>
      <c r="O165" s="1266"/>
      <c r="P165" s="1266"/>
      <c r="Q165" s="1266"/>
      <c r="R165" s="1266"/>
      <c r="S165" s="1266"/>
    </row>
    <row r="166" spans="1:19" s="1265" customFormat="1" ht="15" customHeight="1" x14ac:dyDescent="0.2">
      <c r="A166" s="1586" t="s">
        <v>272</v>
      </c>
      <c r="B166" s="1550" t="s">
        <v>107</v>
      </c>
      <c r="C166" s="1288"/>
      <c r="D166" s="1288"/>
      <c r="E166" s="1288"/>
      <c r="F166" s="1288"/>
      <c r="G166" s="1288"/>
      <c r="H166" s="1288"/>
      <c r="I166" s="1289"/>
      <c r="J166" s="1289"/>
      <c r="K166" s="1289"/>
      <c r="L166" s="1289"/>
      <c r="M166" s="1290"/>
      <c r="N166" s="1274"/>
      <c r="O166" s="1266"/>
      <c r="P166" s="1266"/>
      <c r="Q166" s="1266"/>
      <c r="R166" s="1266"/>
      <c r="S166" s="1266"/>
    </row>
    <row r="167" spans="1:19" s="1265" customFormat="1" ht="15" customHeight="1" x14ac:dyDescent="0.2">
      <c r="A167" s="1713"/>
      <c r="B167" s="1714" t="s">
        <v>349</v>
      </c>
      <c r="C167" s="1275"/>
      <c r="D167" s="1275"/>
      <c r="E167" s="1275"/>
      <c r="F167" s="1275"/>
      <c r="G167" s="1275"/>
      <c r="H167" s="1275"/>
      <c r="I167" s="1276"/>
      <c r="J167" s="1276"/>
      <c r="K167" s="1276"/>
      <c r="L167" s="1276"/>
      <c r="M167" s="1277">
        <f>SUM('6. sz.melléklet'!M102)</f>
        <v>0</v>
      </c>
      <c r="N167" s="1715">
        <f>SUM(C167:M167)</f>
        <v>0</v>
      </c>
      <c r="O167" s="1266"/>
      <c r="P167" s="1266"/>
      <c r="Q167" s="1266"/>
      <c r="R167" s="1266"/>
      <c r="S167" s="1266"/>
    </row>
    <row r="168" spans="1:19" s="1265" customFormat="1" ht="15" customHeight="1" thickBot="1" x14ac:dyDescent="0.25">
      <c r="A168" s="1286"/>
      <c r="B168" s="1658" t="s">
        <v>350</v>
      </c>
      <c r="C168" s="1271"/>
      <c r="D168" s="1271"/>
      <c r="E168" s="1271"/>
      <c r="F168" s="1271"/>
      <c r="G168" s="1271"/>
      <c r="H168" s="1271"/>
      <c r="I168" s="1272"/>
      <c r="J168" s="1272"/>
      <c r="K168" s="1272"/>
      <c r="L168" s="1272"/>
      <c r="M168" s="1273">
        <f>SUM('6. sz.melléklet'!M103)</f>
        <v>65995335</v>
      </c>
      <c r="N168" s="1694">
        <f>SUM(C168:M168)</f>
        <v>65995335</v>
      </c>
      <c r="O168" s="1266"/>
      <c r="P168" s="1266"/>
      <c r="Q168" s="1266"/>
      <c r="R168" s="1266"/>
      <c r="S168" s="1266"/>
    </row>
    <row r="169" spans="1:19" s="1265" customFormat="1" ht="15" customHeight="1" thickBot="1" x14ac:dyDescent="0.25">
      <c r="A169" s="2090" t="s">
        <v>364</v>
      </c>
      <c r="B169" s="2091"/>
      <c r="C169" s="1716"/>
      <c r="D169" s="1716"/>
      <c r="E169" s="1716"/>
      <c r="F169" s="1716"/>
      <c r="G169" s="1716"/>
      <c r="H169" s="1716"/>
      <c r="I169" s="1716"/>
      <c r="J169" s="1716"/>
      <c r="K169" s="1716"/>
      <c r="L169" s="1716"/>
      <c r="M169" s="1717"/>
      <c r="N169" s="1718"/>
      <c r="O169" s="1719"/>
      <c r="P169" s="1266"/>
      <c r="Q169" s="1266"/>
      <c r="R169" s="1266"/>
      <c r="S169" s="1266"/>
    </row>
    <row r="170" spans="1:19" s="1265" customFormat="1" ht="15" customHeight="1" thickBot="1" x14ac:dyDescent="0.25">
      <c r="A170" s="1720"/>
      <c r="B170" s="1721" t="s">
        <v>349</v>
      </c>
      <c r="C170" s="1722">
        <f t="shared" ref="C170:N170" si="8">SUM(C167+C164+C161+C155+C152+C149+C143+C140+C137+C134+C131+C125+C122+C119+C116+C113+C110+C107+C104+C101+C98+C92+C89+C86+C95+C158+C146)</f>
        <v>42360000</v>
      </c>
      <c r="D170" s="1722">
        <f t="shared" si="8"/>
        <v>8361000</v>
      </c>
      <c r="E170" s="1722">
        <f t="shared" si="8"/>
        <v>201645483</v>
      </c>
      <c r="F170" s="1722">
        <f t="shared" si="8"/>
        <v>23896000</v>
      </c>
      <c r="G170" s="1722">
        <f t="shared" si="8"/>
        <v>238086912</v>
      </c>
      <c r="H170" s="1722">
        <f t="shared" si="8"/>
        <v>743025714</v>
      </c>
      <c r="I170" s="1722">
        <f>SUM(I167+I164+I161+I155+I152+I149+I143+I140+I137+I134+I131+I125+I122+I119+I116+I113+I110+I107+I104+I101+I98+I92+I89+I86+I95+I158+I146)</f>
        <v>141799607</v>
      </c>
      <c r="J170" s="1722">
        <f t="shared" si="8"/>
        <v>23080050</v>
      </c>
      <c r="K170" s="1722">
        <f t="shared" si="8"/>
        <v>54155707.555555582</v>
      </c>
      <c r="L170" s="1722">
        <f t="shared" si="8"/>
        <v>26500000</v>
      </c>
      <c r="M170" s="1722">
        <f t="shared" si="8"/>
        <v>471317843</v>
      </c>
      <c r="N170" s="1722">
        <f t="shared" si="8"/>
        <v>1974228316.5555556</v>
      </c>
      <c r="O170" s="1719"/>
      <c r="P170" s="1683"/>
      <c r="Q170" s="1266"/>
      <c r="R170" s="1266"/>
      <c r="S170" s="1266"/>
    </row>
    <row r="171" spans="1:19" s="1265" customFormat="1" ht="15" customHeight="1" thickBot="1" x14ac:dyDescent="0.25">
      <c r="A171" s="1723"/>
      <c r="B171" s="1724" t="s">
        <v>350</v>
      </c>
      <c r="C171" s="1635">
        <f>C87+C90+C93+C96+C99+C102+C105+C108+C111+C114+C117+C120+C123+C126+C132+C135+C138+C141+C144+C147+C150+C153+C156+C159+C162+C165+C168</f>
        <v>42560000</v>
      </c>
      <c r="D171" s="1635">
        <f>D87+D90+D93+D96+D99+D102+D105+D108+D111+D114+D117+D120+D123+D126+D132+D135+D138+D141+D144+D147+D150+D153+D156+D159+D162+D165+D168</f>
        <v>8396000</v>
      </c>
      <c r="E171" s="1635">
        <f>E87+E90+E93+E96+E99+E102+E105+E108+E111+E114+E117+E120+E123+E126+E132+E135+E138+E141+E144+E147+E150+E153+E156+E159+E162+E165+E168+E129</f>
        <v>281511501</v>
      </c>
      <c r="F171" s="1635">
        <f t="shared" ref="F171:M171" si="9">F87+F90+F93+F96+F99+F102+F105+F108+F111+F114+F117+F120+F123+F126+F132+F135+F138+F141+F144+F147+F150+F153+F156+F159+F162+F165+F168</f>
        <v>23896000</v>
      </c>
      <c r="G171" s="1635">
        <f t="shared" si="9"/>
        <v>238086912</v>
      </c>
      <c r="H171" s="1635">
        <f t="shared" si="9"/>
        <v>665935738</v>
      </c>
      <c r="I171" s="1635">
        <f t="shared" si="9"/>
        <v>141799607</v>
      </c>
      <c r="J171" s="1635">
        <f t="shared" si="9"/>
        <v>23080050</v>
      </c>
      <c r="K171" s="1635">
        <f t="shared" si="9"/>
        <v>21334155</v>
      </c>
      <c r="L171" s="1635">
        <f t="shared" si="9"/>
        <v>3571800</v>
      </c>
      <c r="M171" s="1635">
        <f t="shared" si="9"/>
        <v>593128052</v>
      </c>
      <c r="N171" s="1635">
        <f>N87+N90+N93+N96+N99+N102+N105+N108+N111+N114+N117+N120+N123+N126+N132+N135+N138+N141+N144+N147+N150+N153+N156+N159+N162+N165+N168+N129</f>
        <v>2043299815</v>
      </c>
      <c r="O171" s="1719"/>
      <c r="P171" s="1683"/>
      <c r="Q171" s="1266"/>
      <c r="R171" s="1266"/>
      <c r="S171" s="1266"/>
    </row>
    <row r="172" spans="1:19" s="1265" customFormat="1" ht="15" customHeight="1" thickBot="1" x14ac:dyDescent="0.25">
      <c r="A172" s="1725"/>
      <c r="B172" s="1726"/>
      <c r="C172" s="1727"/>
      <c r="D172" s="1727"/>
      <c r="E172" s="1727"/>
      <c r="F172" s="1727"/>
      <c r="G172" s="1727"/>
      <c r="H172" s="1727"/>
      <c r="I172" s="1727"/>
      <c r="J172" s="1727"/>
      <c r="K172" s="1727"/>
      <c r="L172" s="1728"/>
      <c r="M172" s="1729"/>
      <c r="N172" s="1730"/>
      <c r="O172" s="1687"/>
      <c r="P172" s="1266"/>
      <c r="Q172" s="1266"/>
      <c r="R172" s="1266"/>
      <c r="S172" s="1266"/>
    </row>
    <row r="173" spans="1:19" s="1265" customFormat="1" ht="15" customHeight="1" thickBot="1" x14ac:dyDescent="0.25">
      <c r="A173" s="2076" t="s">
        <v>177</v>
      </c>
      <c r="B173" s="2077"/>
      <c r="C173" s="1622"/>
      <c r="D173" s="1622"/>
      <c r="E173" s="1622"/>
      <c r="F173" s="1622"/>
      <c r="G173" s="1622"/>
      <c r="H173" s="1622"/>
      <c r="I173" s="1622"/>
      <c r="J173" s="1622"/>
      <c r="K173" s="1622"/>
      <c r="L173" s="1731"/>
      <c r="M173" s="1732"/>
      <c r="N173" s="1733"/>
      <c r="O173" s="1687"/>
      <c r="P173" s="1266"/>
      <c r="Q173" s="1266"/>
      <c r="R173" s="1266"/>
      <c r="S173" s="1266"/>
    </row>
    <row r="174" spans="1:19" s="1265" customFormat="1" ht="15" customHeight="1" x14ac:dyDescent="0.2">
      <c r="A174" s="1654" t="s">
        <v>243</v>
      </c>
      <c r="B174" s="1655" t="s">
        <v>244</v>
      </c>
      <c r="C174" s="1656"/>
      <c r="D174" s="1656"/>
      <c r="E174" s="1656"/>
      <c r="F174" s="1656"/>
      <c r="G174" s="1656"/>
      <c r="H174" s="1656"/>
      <c r="I174" s="1656"/>
      <c r="J174" s="1656"/>
      <c r="K174" s="1656"/>
      <c r="L174" s="1656"/>
      <c r="M174" s="1691"/>
      <c r="N174" s="1700"/>
      <c r="O174" s="1266"/>
      <c r="P174" s="1266"/>
      <c r="Q174" s="1266"/>
      <c r="R174" s="1266"/>
      <c r="S174" s="1266"/>
    </row>
    <row r="175" spans="1:19" s="1265" customFormat="1" ht="15" customHeight="1" x14ac:dyDescent="0.2">
      <c r="A175" s="1657"/>
      <c r="B175" s="1658" t="s">
        <v>349</v>
      </c>
      <c r="C175" s="1270"/>
      <c r="D175" s="1270"/>
      <c r="E175" s="1270"/>
      <c r="F175" s="1270"/>
      <c r="G175" s="1270"/>
      <c r="H175" s="1270"/>
      <c r="I175" s="1270">
        <f>SUM('6. sz.melléklet'!I21)</f>
        <v>360000</v>
      </c>
      <c r="J175" s="1270"/>
      <c r="K175" s="1270"/>
      <c r="L175" s="1270"/>
      <c r="M175" s="1693"/>
      <c r="N175" s="1694">
        <f>SUM(C175:M175)</f>
        <v>360000</v>
      </c>
      <c r="O175" s="1266"/>
      <c r="P175" s="1266"/>
      <c r="Q175" s="1266"/>
      <c r="R175" s="1266"/>
      <c r="S175" s="1266"/>
    </row>
    <row r="176" spans="1:19" s="1265" customFormat="1" ht="15" customHeight="1" thickBot="1" x14ac:dyDescent="0.25">
      <c r="A176" s="1659"/>
      <c r="B176" s="1660" t="s">
        <v>350</v>
      </c>
      <c r="C176" s="1661">
        <f>SUM('6. sz.melléklet'!C22)</f>
        <v>0</v>
      </c>
      <c r="D176" s="1661">
        <f>SUM('6. sz.melléklet'!D22)</f>
        <v>0</v>
      </c>
      <c r="E176" s="1661">
        <f>SUM('6. sz.melléklet'!E22)</f>
        <v>0</v>
      </c>
      <c r="F176" s="1661"/>
      <c r="G176" s="1661"/>
      <c r="H176" s="1661"/>
      <c r="I176" s="1661">
        <f>SUM('6. sz.melléklet'!I22)</f>
        <v>360000</v>
      </c>
      <c r="J176" s="1661"/>
      <c r="K176" s="1661"/>
      <c r="L176" s="1661"/>
      <c r="M176" s="1695"/>
      <c r="N176" s="1696">
        <f>SUM(C176:M176)</f>
        <v>360000</v>
      </c>
      <c r="O176" s="1266"/>
      <c r="P176" s="1266"/>
      <c r="Q176" s="1266"/>
      <c r="R176" s="1266"/>
      <c r="S176" s="1266"/>
    </row>
    <row r="177" spans="1:19" s="1265" customFormat="1" ht="15" customHeight="1" x14ac:dyDescent="0.2">
      <c r="A177" s="1662" t="s">
        <v>245</v>
      </c>
      <c r="B177" s="1559" t="s">
        <v>246</v>
      </c>
      <c r="C177" s="1285"/>
      <c r="D177" s="1285"/>
      <c r="E177" s="1285"/>
      <c r="F177" s="1285"/>
      <c r="G177" s="1285"/>
      <c r="H177" s="1285"/>
      <c r="I177" s="1285"/>
      <c r="J177" s="1285"/>
      <c r="K177" s="1285"/>
      <c r="L177" s="1285"/>
      <c r="M177" s="1287"/>
      <c r="N177" s="1274"/>
      <c r="O177" s="1266"/>
      <c r="P177" s="1266"/>
      <c r="Q177" s="1266"/>
      <c r="R177" s="1266"/>
      <c r="S177" s="1266"/>
    </row>
    <row r="178" spans="1:19" s="1265" customFormat="1" ht="15" customHeight="1" x14ac:dyDescent="0.2">
      <c r="A178" s="1657"/>
      <c r="B178" s="1658" t="s">
        <v>349</v>
      </c>
      <c r="C178" s="1270">
        <f>SUM('6. sz.melléklet'!C24)</f>
        <v>11446000</v>
      </c>
      <c r="D178" s="1270">
        <f>SUM('6. sz.melléklet'!D24)</f>
        <v>2144000</v>
      </c>
      <c r="E178" s="1270">
        <f>SUM('6. sz.melléklet'!E24)</f>
        <v>7546000</v>
      </c>
      <c r="F178" s="1270"/>
      <c r="G178" s="1270"/>
      <c r="H178" s="1270"/>
      <c r="I178" s="1270"/>
      <c r="J178" s="1270"/>
      <c r="K178" s="1270"/>
      <c r="L178" s="1270"/>
      <c r="M178" s="1693"/>
      <c r="N178" s="1694">
        <f>SUM(C178:M178)</f>
        <v>21136000</v>
      </c>
      <c r="O178" s="1266"/>
      <c r="P178" s="1266"/>
      <c r="Q178" s="1266"/>
      <c r="R178" s="1266"/>
      <c r="S178" s="1266"/>
    </row>
    <row r="179" spans="1:19" s="1265" customFormat="1" ht="15" customHeight="1" thickBot="1" x14ac:dyDescent="0.25">
      <c r="A179" s="1663"/>
      <c r="B179" s="1664" t="s">
        <v>350</v>
      </c>
      <c r="C179" s="1665">
        <f>SUM('6. sz.melléklet'!C25)</f>
        <v>12204400</v>
      </c>
      <c r="D179" s="1665">
        <f>SUM('6. sz.melléklet'!D25)</f>
        <v>2277000</v>
      </c>
      <c r="E179" s="1665">
        <f>SUM('6. sz.melléklet'!E25)</f>
        <v>7546000</v>
      </c>
      <c r="F179" s="1665"/>
      <c r="G179" s="1665"/>
      <c r="H179" s="1665"/>
      <c r="I179" s="1665"/>
      <c r="J179" s="1665"/>
      <c r="K179" s="1665"/>
      <c r="L179" s="1665"/>
      <c r="M179" s="1698"/>
      <c r="N179" s="1699">
        <f>SUM(C179:M179)</f>
        <v>22027400</v>
      </c>
      <c r="O179" s="1266"/>
      <c r="P179" s="1266"/>
      <c r="Q179" s="1266"/>
      <c r="R179" s="1266"/>
      <c r="S179" s="1266"/>
    </row>
    <row r="180" spans="1:19" s="1265" customFormat="1" ht="15" customHeight="1" x14ac:dyDescent="0.2">
      <c r="A180" s="1662" t="s">
        <v>268</v>
      </c>
      <c r="B180" s="1559" t="s">
        <v>269</v>
      </c>
      <c r="C180" s="1285"/>
      <c r="D180" s="1285"/>
      <c r="E180" s="1285"/>
      <c r="F180" s="1285"/>
      <c r="G180" s="1285"/>
      <c r="H180" s="1285"/>
      <c r="I180" s="1285"/>
      <c r="J180" s="1285"/>
      <c r="K180" s="1285"/>
      <c r="L180" s="1285"/>
      <c r="M180" s="1287"/>
      <c r="N180" s="1274"/>
      <c r="O180" s="1266"/>
      <c r="P180" s="1266"/>
      <c r="Q180" s="1266"/>
      <c r="R180" s="1266"/>
      <c r="S180" s="1266"/>
    </row>
    <row r="181" spans="1:19" s="1265" customFormat="1" ht="15" customHeight="1" x14ac:dyDescent="0.2">
      <c r="A181" s="1657"/>
      <c r="B181" s="1658" t="s">
        <v>349</v>
      </c>
      <c r="C181" s="1270"/>
      <c r="D181" s="1270"/>
      <c r="E181" s="1270">
        <f>SUM('6. sz.melléklet'!E27)</f>
        <v>4572000</v>
      </c>
      <c r="F181" s="1270"/>
      <c r="G181" s="1270"/>
      <c r="H181" s="1270"/>
      <c r="I181" s="1270"/>
      <c r="J181" s="1270"/>
      <c r="K181" s="1270"/>
      <c r="L181" s="1270"/>
      <c r="M181" s="1693"/>
      <c r="N181" s="1694">
        <f>SUM(C181:M181)</f>
        <v>4572000</v>
      </c>
      <c r="O181" s="1266"/>
      <c r="P181" s="1266"/>
      <c r="Q181" s="1266"/>
      <c r="R181" s="1266"/>
      <c r="S181" s="1266"/>
    </row>
    <row r="182" spans="1:19" s="1265" customFormat="1" ht="15" customHeight="1" thickBot="1" x14ac:dyDescent="0.25">
      <c r="A182" s="1663"/>
      <c r="B182" s="1664" t="s">
        <v>350</v>
      </c>
      <c r="C182" s="1665"/>
      <c r="D182" s="1665"/>
      <c r="E182" s="1665">
        <f>SUM('6. sz.melléklet'!E28)</f>
        <v>4572000</v>
      </c>
      <c r="F182" s="1665"/>
      <c r="G182" s="1665"/>
      <c r="H182" s="1665"/>
      <c r="I182" s="1665"/>
      <c r="J182" s="1665"/>
      <c r="K182" s="1665"/>
      <c r="L182" s="1665"/>
      <c r="M182" s="1698"/>
      <c r="N182" s="1699">
        <f t="shared" ref="N182:N185" si="10">SUM(C182:M182)</f>
        <v>4572000</v>
      </c>
      <c r="O182" s="1266"/>
      <c r="P182" s="1266"/>
      <c r="Q182" s="1266"/>
      <c r="R182" s="1266"/>
      <c r="S182" s="1266"/>
    </row>
    <row r="183" spans="1:19" s="1265" customFormat="1" ht="15" customHeight="1" x14ac:dyDescent="0.2">
      <c r="A183" s="1586" t="s">
        <v>247</v>
      </c>
      <c r="B183" s="1550" t="s">
        <v>248</v>
      </c>
      <c r="C183" s="1288"/>
      <c r="D183" s="1288"/>
      <c r="E183" s="1288"/>
      <c r="F183" s="1288"/>
      <c r="G183" s="1288"/>
      <c r="H183" s="1288"/>
      <c r="I183" s="1289"/>
      <c r="J183" s="1289"/>
      <c r="K183" s="1289"/>
      <c r="L183" s="1289"/>
      <c r="M183" s="1290"/>
      <c r="N183" s="1274"/>
      <c r="O183" s="1266"/>
      <c r="P183" s="1266"/>
      <c r="Q183" s="1266"/>
      <c r="R183" s="1266"/>
      <c r="S183" s="1266"/>
    </row>
    <row r="184" spans="1:19" s="1265" customFormat="1" ht="15" customHeight="1" x14ac:dyDescent="0.2">
      <c r="A184" s="1286"/>
      <c r="B184" s="1658" t="s">
        <v>349</v>
      </c>
      <c r="C184" s="1271">
        <f>SUM('6. sz.melléklet'!C30)</f>
        <v>480000</v>
      </c>
      <c r="D184" s="1271">
        <f>SUM('6. sz.melléklet'!D30)</f>
        <v>84000</v>
      </c>
      <c r="E184" s="1271">
        <f>SUM('6. sz.melléklet'!E30)</f>
        <v>1537000</v>
      </c>
      <c r="F184" s="1271"/>
      <c r="G184" s="1271"/>
      <c r="H184" s="1271"/>
      <c r="I184" s="1272"/>
      <c r="J184" s="1272"/>
      <c r="K184" s="1272"/>
      <c r="L184" s="1272"/>
      <c r="M184" s="1273"/>
      <c r="N184" s="1694">
        <f t="shared" si="10"/>
        <v>2101000</v>
      </c>
      <c r="O184" s="1266"/>
      <c r="P184" s="1266"/>
      <c r="Q184" s="1266"/>
      <c r="R184" s="1266"/>
      <c r="S184" s="1266"/>
    </row>
    <row r="185" spans="1:19" s="1265" customFormat="1" ht="15" customHeight="1" thickBot="1" x14ac:dyDescent="0.25">
      <c r="A185" s="1587"/>
      <c r="B185" s="1664" t="s">
        <v>350</v>
      </c>
      <c r="C185" s="1555">
        <f>SUM('6. sz.melléklet'!C31)</f>
        <v>480000</v>
      </c>
      <c r="D185" s="1555">
        <f>SUM('6. sz.melléklet'!D31)</f>
        <v>84000</v>
      </c>
      <c r="E185" s="1555">
        <f>SUM('6. sz.melléklet'!E31)</f>
        <v>1537000</v>
      </c>
      <c r="F185" s="1555"/>
      <c r="G185" s="1555"/>
      <c r="H185" s="1555"/>
      <c r="I185" s="1671"/>
      <c r="J185" s="1671"/>
      <c r="K185" s="1671"/>
      <c r="L185" s="1671"/>
      <c r="M185" s="1704"/>
      <c r="N185" s="1699">
        <f t="shared" si="10"/>
        <v>2101000</v>
      </c>
      <c r="O185" s="1266"/>
      <c r="P185" s="1266"/>
      <c r="Q185" s="1266"/>
      <c r="R185" s="1266"/>
      <c r="S185" s="1266"/>
    </row>
    <row r="186" spans="1:19" s="1265" customFormat="1" ht="15" customHeight="1" x14ac:dyDescent="0.2">
      <c r="A186" s="1586" t="s">
        <v>420</v>
      </c>
      <c r="B186" s="1559" t="s">
        <v>421</v>
      </c>
      <c r="C186" s="1288"/>
      <c r="D186" s="1288"/>
      <c r="E186" s="1288"/>
      <c r="F186" s="1288"/>
      <c r="G186" s="1288"/>
      <c r="H186" s="1288"/>
      <c r="I186" s="1289"/>
      <c r="J186" s="1289"/>
      <c r="K186" s="1289"/>
      <c r="L186" s="1289"/>
      <c r="M186" s="1290"/>
      <c r="N186" s="1274"/>
      <c r="O186" s="1266"/>
      <c r="P186" s="1266"/>
      <c r="Q186" s="1266"/>
      <c r="R186" s="1266"/>
      <c r="S186" s="1266"/>
    </row>
    <row r="187" spans="1:19" s="1265" customFormat="1" ht="15" customHeight="1" x14ac:dyDescent="0.2">
      <c r="A187" s="1713"/>
      <c r="B187" s="1714" t="s">
        <v>349</v>
      </c>
      <c r="C187" s="1275">
        <f>SUM('6. sz.melléklet'!C96)</f>
        <v>24000</v>
      </c>
      <c r="D187" s="1275"/>
      <c r="E187" s="1275"/>
      <c r="F187" s="1275"/>
      <c r="G187" s="1275"/>
      <c r="H187" s="1275"/>
      <c r="I187" s="1276"/>
      <c r="J187" s="1276"/>
      <c r="K187" s="1276"/>
      <c r="L187" s="1276"/>
      <c r="M187" s="1277"/>
      <c r="N187" s="1697">
        <f>SUM(C187:M187)</f>
        <v>24000</v>
      </c>
      <c r="O187" s="1266"/>
      <c r="P187" s="1266"/>
      <c r="Q187" s="1266"/>
      <c r="R187" s="1266"/>
      <c r="S187" s="1266"/>
    </row>
    <row r="188" spans="1:19" s="1265" customFormat="1" ht="15" customHeight="1" thickBot="1" x14ac:dyDescent="0.25">
      <c r="A188" s="1286"/>
      <c r="B188" s="1658" t="s">
        <v>350</v>
      </c>
      <c r="C188" s="1271">
        <f>SUM('6. sz.melléklet'!C97)</f>
        <v>24000</v>
      </c>
      <c r="D188" s="1271"/>
      <c r="E188" s="1271"/>
      <c r="F188" s="1271"/>
      <c r="G188" s="1271"/>
      <c r="H188" s="1271"/>
      <c r="I188" s="1272"/>
      <c r="J188" s="1272"/>
      <c r="K188" s="1272"/>
      <c r="L188" s="1272"/>
      <c r="M188" s="1273"/>
      <c r="N188" s="1274">
        <f>SUM(C188:M188)</f>
        <v>24000</v>
      </c>
      <c r="O188" s="1266"/>
      <c r="P188" s="1266"/>
      <c r="Q188" s="1266"/>
      <c r="R188" s="1266"/>
      <c r="S188" s="1266"/>
    </row>
    <row r="189" spans="1:19" s="1265" customFormat="1" ht="15" customHeight="1" x14ac:dyDescent="0.2">
      <c r="A189" s="2074" t="s">
        <v>365</v>
      </c>
      <c r="B189" s="2075"/>
      <c r="C189" s="1602"/>
      <c r="D189" s="1602"/>
      <c r="E189" s="1602"/>
      <c r="F189" s="1602"/>
      <c r="G189" s="1602"/>
      <c r="H189" s="1602"/>
      <c r="I189" s="1602"/>
      <c r="J189" s="1602"/>
      <c r="K189" s="1602"/>
      <c r="L189" s="1602"/>
      <c r="M189" s="1603"/>
      <c r="N189" s="1734"/>
      <c r="O189" s="1649"/>
      <c r="P189" s="1266"/>
      <c r="Q189" s="1719"/>
      <c r="R189" s="1266"/>
      <c r="S189" s="1266"/>
    </row>
    <row r="190" spans="1:19" s="1283" customFormat="1" ht="15" customHeight="1" thickBot="1" x14ac:dyDescent="0.25">
      <c r="A190" s="1735"/>
      <c r="B190" s="1735" t="s">
        <v>349</v>
      </c>
      <c r="C190" s="1736">
        <f t="shared" ref="C190:N190" si="11">C175+C178+C181+C184+C187</f>
        <v>11950000</v>
      </c>
      <c r="D190" s="1736">
        <f t="shared" si="11"/>
        <v>2228000</v>
      </c>
      <c r="E190" s="1736">
        <f t="shared" si="11"/>
        <v>13655000</v>
      </c>
      <c r="F190" s="1736">
        <f t="shared" si="11"/>
        <v>0</v>
      </c>
      <c r="G190" s="1736">
        <f t="shared" si="11"/>
        <v>0</v>
      </c>
      <c r="H190" s="1736">
        <f t="shared" si="11"/>
        <v>0</v>
      </c>
      <c r="I190" s="1736">
        <f t="shared" si="11"/>
        <v>360000</v>
      </c>
      <c r="J190" s="1736">
        <f t="shared" si="11"/>
        <v>0</v>
      </c>
      <c r="K190" s="1736">
        <f t="shared" si="11"/>
        <v>0</v>
      </c>
      <c r="L190" s="1736">
        <f t="shared" si="11"/>
        <v>0</v>
      </c>
      <c r="M190" s="1736">
        <f t="shared" si="11"/>
        <v>0</v>
      </c>
      <c r="N190" s="1736">
        <f t="shared" si="11"/>
        <v>28193000</v>
      </c>
      <c r="O190" s="1737"/>
      <c r="P190" s="1737"/>
      <c r="Q190" s="1738"/>
      <c r="R190" s="1738"/>
      <c r="S190" s="1738"/>
    </row>
    <row r="191" spans="1:19" s="1283" customFormat="1" ht="15" customHeight="1" thickBot="1" x14ac:dyDescent="0.25">
      <c r="A191" s="1739"/>
      <c r="B191" s="1739" t="s">
        <v>350</v>
      </c>
      <c r="C191" s="1740">
        <f>C176+C179+C182+C185+C188</f>
        <v>12708400</v>
      </c>
      <c r="D191" s="1740">
        <f t="shared" ref="D191:N191" si="12">D176+D179+D182+D185+D188</f>
        <v>2361000</v>
      </c>
      <c r="E191" s="1740">
        <f t="shared" si="12"/>
        <v>13655000</v>
      </c>
      <c r="F191" s="1740">
        <f t="shared" si="12"/>
        <v>0</v>
      </c>
      <c r="G191" s="1740">
        <f t="shared" si="12"/>
        <v>0</v>
      </c>
      <c r="H191" s="1740">
        <f t="shared" si="12"/>
        <v>0</v>
      </c>
      <c r="I191" s="1740">
        <f t="shared" si="12"/>
        <v>360000</v>
      </c>
      <c r="J191" s="1740">
        <f t="shared" si="12"/>
        <v>0</v>
      </c>
      <c r="K191" s="1740">
        <f t="shared" si="12"/>
        <v>0</v>
      </c>
      <c r="L191" s="1740">
        <f t="shared" si="12"/>
        <v>0</v>
      </c>
      <c r="M191" s="1740">
        <f t="shared" si="12"/>
        <v>0</v>
      </c>
      <c r="N191" s="1740">
        <f t="shared" si="12"/>
        <v>29084400</v>
      </c>
      <c r="O191" s="1737"/>
      <c r="P191" s="1737"/>
      <c r="Q191" s="1738"/>
      <c r="R191" s="1738"/>
      <c r="S191" s="1738"/>
    </row>
    <row r="192" spans="1:19" s="1284" customFormat="1" ht="15" customHeight="1" thickBot="1" x14ac:dyDescent="0.25">
      <c r="A192" s="1741"/>
      <c r="B192" s="1741"/>
      <c r="C192" s="1742"/>
      <c r="D192" s="1742"/>
      <c r="E192" s="1742"/>
      <c r="F192" s="1742"/>
      <c r="G192" s="1742"/>
      <c r="H192" s="1742"/>
      <c r="I192" s="1742"/>
      <c r="J192" s="1742"/>
      <c r="K192" s="1742"/>
      <c r="L192" s="1742"/>
      <c r="M192" s="1743"/>
      <c r="N192" s="1744"/>
      <c r="O192" s="1745"/>
      <c r="P192" s="1746"/>
      <c r="Q192" s="1746"/>
      <c r="R192" s="1746"/>
      <c r="S192" s="1746"/>
    </row>
    <row r="193" spans="1:19" s="1283" customFormat="1" ht="15" customHeight="1" x14ac:dyDescent="0.2">
      <c r="A193" s="1747" t="s">
        <v>366</v>
      </c>
      <c r="B193" s="1747"/>
      <c r="C193" s="1932"/>
      <c r="D193" s="1932"/>
      <c r="E193" s="1932"/>
      <c r="F193" s="1932"/>
      <c r="G193" s="1932"/>
      <c r="H193" s="1932"/>
      <c r="I193" s="1932"/>
      <c r="J193" s="1932"/>
      <c r="K193" s="1932"/>
      <c r="L193" s="1932"/>
      <c r="M193" s="1933"/>
      <c r="N193" s="1934"/>
      <c r="O193" s="1737"/>
      <c r="P193" s="1738"/>
      <c r="Q193" s="1738"/>
      <c r="R193" s="1738"/>
      <c r="S193" s="1738"/>
    </row>
    <row r="194" spans="1:19" s="1283" customFormat="1" ht="15" customHeight="1" thickBot="1" x14ac:dyDescent="0.25">
      <c r="A194" s="1735"/>
      <c r="B194" s="1735" t="s">
        <v>349</v>
      </c>
      <c r="C194" s="1935">
        <f t="shared" ref="C194:N194" si="13">C170+C190</f>
        <v>54310000</v>
      </c>
      <c r="D194" s="1935">
        <f t="shared" si="13"/>
        <v>10589000</v>
      </c>
      <c r="E194" s="1935">
        <f t="shared" si="13"/>
        <v>215300483</v>
      </c>
      <c r="F194" s="1935">
        <f t="shared" si="13"/>
        <v>23896000</v>
      </c>
      <c r="G194" s="1935">
        <f t="shared" si="13"/>
        <v>238086912</v>
      </c>
      <c r="H194" s="1935">
        <f t="shared" si="13"/>
        <v>743025714</v>
      </c>
      <c r="I194" s="1935">
        <f t="shared" si="13"/>
        <v>142159607</v>
      </c>
      <c r="J194" s="1935">
        <f t="shared" si="13"/>
        <v>23080050</v>
      </c>
      <c r="K194" s="1935">
        <f t="shared" si="13"/>
        <v>54155707.555555582</v>
      </c>
      <c r="L194" s="1935">
        <f t="shared" si="13"/>
        <v>26500000</v>
      </c>
      <c r="M194" s="1936">
        <f t="shared" si="13"/>
        <v>471317843</v>
      </c>
      <c r="N194" s="1937">
        <f t="shared" si="13"/>
        <v>2002421316.5555556</v>
      </c>
      <c r="O194" s="1737"/>
      <c r="P194" s="1737"/>
      <c r="Q194" s="1738"/>
      <c r="R194" s="1738"/>
      <c r="S194" s="1738"/>
    </row>
    <row r="195" spans="1:19" s="1283" customFormat="1" ht="13.5" thickBot="1" x14ac:dyDescent="0.25">
      <c r="A195" s="1739"/>
      <c r="B195" s="1739" t="s">
        <v>350</v>
      </c>
      <c r="C195" s="1938">
        <f t="shared" ref="C195:N195" si="14">C171+C191</f>
        <v>55268400</v>
      </c>
      <c r="D195" s="1938">
        <f t="shared" si="14"/>
        <v>10757000</v>
      </c>
      <c r="E195" s="1938">
        <f t="shared" si="14"/>
        <v>295166501</v>
      </c>
      <c r="F195" s="1938">
        <f t="shared" si="14"/>
        <v>23896000</v>
      </c>
      <c r="G195" s="1938">
        <f t="shared" si="14"/>
        <v>238086912</v>
      </c>
      <c r="H195" s="1938">
        <f t="shared" si="14"/>
        <v>665935738</v>
      </c>
      <c r="I195" s="1938">
        <f t="shared" si="14"/>
        <v>142159607</v>
      </c>
      <c r="J195" s="1938">
        <f t="shared" si="14"/>
        <v>23080050</v>
      </c>
      <c r="K195" s="1938">
        <f t="shared" si="14"/>
        <v>21334155</v>
      </c>
      <c r="L195" s="1938">
        <f t="shared" si="14"/>
        <v>3571800</v>
      </c>
      <c r="M195" s="1939">
        <f t="shared" si="14"/>
        <v>593128052</v>
      </c>
      <c r="N195" s="1940">
        <f t="shared" si="14"/>
        <v>2072384215</v>
      </c>
      <c r="O195" s="1737"/>
      <c r="P195" s="1738"/>
      <c r="Q195" s="1737"/>
      <c r="R195" s="1738"/>
      <c r="S195" s="1738"/>
    </row>
    <row r="196" spans="1:19" s="55" customFormat="1" x14ac:dyDescent="0.2">
      <c r="A196" s="6"/>
      <c r="B196" s="6"/>
      <c r="C196" s="1748"/>
      <c r="D196" s="1748"/>
      <c r="E196" s="1748"/>
      <c r="F196" s="1748"/>
      <c r="G196" s="1748"/>
      <c r="H196" s="1748"/>
      <c r="I196" s="1748"/>
      <c r="J196" s="1748"/>
      <c r="K196" s="1748"/>
      <c r="L196" s="1748"/>
      <c r="M196" s="1748"/>
      <c r="N196" s="1748"/>
      <c r="O196" s="1748"/>
      <c r="P196" s="6"/>
      <c r="Q196" s="6"/>
      <c r="R196" s="6"/>
      <c r="S196" s="6"/>
    </row>
    <row r="197" spans="1:19" s="55" customFormat="1" ht="15" customHeight="1" x14ac:dyDescent="0.2">
      <c r="A197" s="6"/>
      <c r="B197" s="6"/>
      <c r="C197" s="1748"/>
      <c r="D197" s="1748"/>
      <c r="E197" s="1748"/>
      <c r="F197" s="1748"/>
      <c r="G197" s="1748"/>
      <c r="H197" s="1748"/>
      <c r="I197" s="1748"/>
      <c r="J197" s="1748"/>
      <c r="K197" s="1748"/>
      <c r="L197" s="1748"/>
      <c r="M197" s="1748"/>
      <c r="N197" s="1748"/>
      <c r="O197" s="1748"/>
      <c r="P197" s="6"/>
      <c r="Q197" s="6"/>
      <c r="R197" s="6"/>
      <c r="S197" s="6"/>
    </row>
    <row r="198" spans="1:19" s="55" customFormat="1" x14ac:dyDescent="0.2">
      <c r="A198" s="6"/>
      <c r="B198" s="6"/>
      <c r="C198" s="1748"/>
      <c r="D198" s="1748"/>
      <c r="E198" s="1748"/>
      <c r="F198" s="1748"/>
      <c r="G198" s="1748"/>
      <c r="H198" s="1748"/>
      <c r="I198" s="1748"/>
      <c r="J198" s="1748"/>
      <c r="K198" s="1748"/>
      <c r="L198" s="1748"/>
      <c r="M198" s="1748"/>
      <c r="N198" s="1748"/>
      <c r="O198" s="1748"/>
      <c r="P198" s="6"/>
      <c r="Q198" s="6"/>
      <c r="R198" s="6"/>
      <c r="S198" s="6"/>
    </row>
    <row r="199" spans="1:19" s="55" customFormat="1" x14ac:dyDescent="0.2">
      <c r="A199" s="6"/>
      <c r="B199" s="6"/>
      <c r="C199" s="1748"/>
      <c r="D199" s="1748"/>
      <c r="E199" s="1748"/>
      <c r="F199" s="1748"/>
      <c r="G199" s="1748"/>
      <c r="H199" s="1748"/>
      <c r="I199" s="1748"/>
      <c r="J199" s="1748"/>
      <c r="K199" s="1748"/>
      <c r="L199" s="1748"/>
      <c r="M199" s="1748"/>
      <c r="N199" s="1748"/>
      <c r="O199" s="1748"/>
      <c r="P199" s="6"/>
      <c r="Q199" s="6"/>
      <c r="R199" s="6"/>
      <c r="S199" s="6"/>
    </row>
    <row r="200" spans="1:19" s="55" customFormat="1" x14ac:dyDescent="0.2">
      <c r="A200" s="6"/>
      <c r="B200" s="6"/>
      <c r="C200" s="1748"/>
      <c r="D200" s="1748"/>
      <c r="E200" s="1748"/>
      <c r="F200" s="1748"/>
      <c r="G200" s="1748"/>
      <c r="H200" s="1748"/>
      <c r="I200" s="1748"/>
      <c r="J200" s="1748"/>
      <c r="K200" s="1748"/>
      <c r="L200" s="1748"/>
      <c r="M200" s="1748"/>
      <c r="N200" s="1748"/>
      <c r="O200" s="1748"/>
      <c r="P200" s="6"/>
      <c r="Q200" s="6"/>
      <c r="R200" s="6"/>
      <c r="S200" s="6"/>
    </row>
    <row r="201" spans="1:19" s="55" customFormat="1" x14ac:dyDescent="0.2">
      <c r="A201" s="6"/>
      <c r="B201" s="6"/>
      <c r="C201" s="1748"/>
      <c r="D201" s="1748"/>
      <c r="E201" s="1748"/>
      <c r="F201" s="1748"/>
      <c r="G201" s="1748"/>
      <c r="H201" s="1748"/>
      <c r="I201" s="1748"/>
      <c r="J201" s="1748"/>
      <c r="K201" s="1748"/>
      <c r="L201" s="1748"/>
      <c r="M201" s="1748"/>
      <c r="N201" s="1748"/>
      <c r="O201" s="1748"/>
      <c r="P201" s="6"/>
      <c r="Q201" s="6"/>
      <c r="R201" s="6"/>
      <c r="S201" s="6"/>
    </row>
    <row r="202" spans="1:19" s="55" customFormat="1" ht="15" customHeight="1" x14ac:dyDescent="0.2">
      <c r="A202" s="6"/>
      <c r="B202" s="6"/>
      <c r="C202" s="1748"/>
      <c r="D202" s="1748"/>
      <c r="E202" s="1748"/>
      <c r="F202" s="1748"/>
      <c r="G202" s="1748"/>
      <c r="H202" s="1748"/>
      <c r="I202" s="1748"/>
      <c r="J202" s="1748"/>
      <c r="K202" s="1748"/>
      <c r="L202" s="1748"/>
      <c r="M202" s="1748"/>
      <c r="N202" s="1748"/>
      <c r="O202" s="1748"/>
      <c r="P202" s="6"/>
      <c r="Q202" s="6"/>
      <c r="R202" s="6"/>
      <c r="S202" s="6"/>
    </row>
    <row r="203" spans="1:19" s="55" customFormat="1" ht="15" customHeight="1" x14ac:dyDescent="0.2">
      <c r="A203" s="6"/>
      <c r="B203" s="6"/>
      <c r="C203" s="1748"/>
      <c r="D203" s="1748"/>
      <c r="E203" s="1748"/>
      <c r="F203" s="1748"/>
      <c r="G203" s="1748"/>
      <c r="H203" s="1748"/>
      <c r="I203" s="1748"/>
      <c r="J203" s="1748"/>
      <c r="K203" s="1748"/>
      <c r="L203" s="1748"/>
      <c r="M203" s="1748"/>
      <c r="N203" s="1748"/>
      <c r="O203" s="1748"/>
      <c r="P203" s="6"/>
      <c r="Q203" s="6"/>
      <c r="R203" s="6"/>
      <c r="S203" s="6"/>
    </row>
    <row r="204" spans="1:19" s="55" customFormat="1" ht="15" customHeight="1" x14ac:dyDescent="0.2">
      <c r="A204" s="6"/>
      <c r="B204" s="6"/>
      <c r="C204" s="1748"/>
      <c r="D204" s="1748"/>
      <c r="E204" s="1748"/>
      <c r="F204" s="1748"/>
      <c r="G204" s="1748"/>
      <c r="H204" s="1748"/>
      <c r="I204" s="1748"/>
      <c r="J204" s="1748"/>
      <c r="K204" s="1748"/>
      <c r="L204" s="1748"/>
      <c r="M204" s="1748"/>
      <c r="N204" s="1748"/>
      <c r="O204" s="1748"/>
      <c r="P204" s="6"/>
      <c r="Q204" s="6"/>
      <c r="R204" s="6"/>
      <c r="S204" s="6"/>
    </row>
    <row r="205" spans="1:19" s="55" customFormat="1" ht="15" customHeight="1" x14ac:dyDescent="0.2">
      <c r="A205" s="6"/>
      <c r="B205" s="6"/>
      <c r="C205" s="1748"/>
      <c r="D205" s="1748"/>
      <c r="E205" s="1748"/>
      <c r="F205" s="1748"/>
      <c r="G205" s="1748"/>
      <c r="H205" s="1748"/>
      <c r="I205" s="1748"/>
      <c r="J205" s="1748"/>
      <c r="K205" s="1748"/>
      <c r="L205" s="1748"/>
      <c r="M205" s="1748"/>
      <c r="N205" s="1748"/>
      <c r="O205" s="1748"/>
      <c r="P205" s="6"/>
      <c r="Q205" s="6"/>
      <c r="R205" s="6"/>
      <c r="S205" s="6"/>
    </row>
    <row r="206" spans="1:19" s="55" customFormat="1" ht="15" customHeight="1" x14ac:dyDescent="0.2">
      <c r="A206" s="6"/>
      <c r="B206" s="6"/>
      <c r="C206" s="1748"/>
      <c r="D206" s="1748"/>
      <c r="E206" s="1748"/>
      <c r="F206" s="1748"/>
      <c r="G206" s="1748"/>
      <c r="H206" s="1748"/>
      <c r="I206" s="1748"/>
      <c r="J206" s="1748"/>
      <c r="K206" s="1748"/>
      <c r="L206" s="1748"/>
      <c r="M206" s="1748"/>
      <c r="N206" s="1748"/>
      <c r="O206" s="1748"/>
      <c r="P206" s="6"/>
      <c r="Q206" s="6"/>
      <c r="R206" s="6"/>
      <c r="S206" s="6"/>
    </row>
    <row r="207" spans="1:19" s="55" customFormat="1" ht="15" customHeight="1" x14ac:dyDescent="0.2">
      <c r="A207" s="6"/>
      <c r="B207" s="6"/>
      <c r="C207" s="1748"/>
      <c r="D207" s="1748"/>
      <c r="E207" s="1748"/>
      <c r="F207" s="1748"/>
      <c r="G207" s="1748"/>
      <c r="H207" s="1748"/>
      <c r="I207" s="1748"/>
      <c r="J207" s="1748"/>
      <c r="K207" s="1748"/>
      <c r="L207" s="1748"/>
      <c r="M207" s="1748"/>
      <c r="N207" s="1748"/>
      <c r="O207" s="1748"/>
      <c r="P207" s="6"/>
      <c r="Q207" s="6"/>
      <c r="R207" s="6"/>
      <c r="S207" s="6"/>
    </row>
    <row r="208" spans="1:19" s="55" customFormat="1" ht="15" customHeight="1" x14ac:dyDescent="0.2">
      <c r="A208" s="6"/>
      <c r="B208" s="6"/>
      <c r="C208" s="1748"/>
      <c r="D208" s="1748"/>
      <c r="E208" s="1748"/>
      <c r="F208" s="1748"/>
      <c r="G208" s="1748"/>
      <c r="H208" s="1748"/>
      <c r="I208" s="1748"/>
      <c r="J208" s="1748"/>
      <c r="K208" s="1748"/>
      <c r="L208" s="1748"/>
      <c r="M208" s="1748"/>
      <c r="N208" s="1748"/>
      <c r="O208" s="1748"/>
      <c r="P208" s="6"/>
      <c r="Q208" s="6"/>
      <c r="R208" s="6"/>
      <c r="S208" s="6"/>
    </row>
    <row r="209" spans="1:19" s="55" customFormat="1" ht="15" customHeight="1" x14ac:dyDescent="0.2">
      <c r="A209" s="6"/>
      <c r="B209" s="6"/>
      <c r="C209" s="1748"/>
      <c r="D209" s="1748"/>
      <c r="E209" s="1748"/>
      <c r="F209" s="1748"/>
      <c r="G209" s="1748"/>
      <c r="H209" s="1748"/>
      <c r="I209" s="1748"/>
      <c r="J209" s="1748"/>
      <c r="K209" s="1748"/>
      <c r="L209" s="1748"/>
      <c r="M209" s="1748"/>
      <c r="N209" s="1748"/>
      <c r="O209" s="1748"/>
      <c r="P209" s="6"/>
      <c r="Q209" s="6"/>
      <c r="R209" s="6"/>
      <c r="S209" s="6"/>
    </row>
    <row r="210" spans="1:19" s="55" customFormat="1" ht="15" customHeight="1" x14ac:dyDescent="0.2">
      <c r="A210" s="6"/>
      <c r="B210" s="6"/>
      <c r="C210" s="1748"/>
      <c r="D210" s="1748"/>
      <c r="E210" s="1748"/>
      <c r="F210" s="1748"/>
      <c r="G210" s="1748"/>
      <c r="H210" s="1748"/>
      <c r="I210" s="1748"/>
      <c r="J210" s="1748"/>
      <c r="K210" s="1748"/>
      <c r="L210" s="1748"/>
      <c r="M210" s="1748"/>
      <c r="N210" s="1748"/>
      <c r="O210" s="1748"/>
      <c r="P210" s="6"/>
      <c r="Q210" s="6"/>
      <c r="R210" s="6"/>
      <c r="S210" s="6"/>
    </row>
    <row r="211" spans="1:19" s="55" customFormat="1" ht="15" customHeight="1" x14ac:dyDescent="0.2">
      <c r="A211" s="6"/>
      <c r="B211" s="6"/>
      <c r="C211" s="1748"/>
      <c r="D211" s="1748"/>
      <c r="E211" s="1748"/>
      <c r="F211" s="1748"/>
      <c r="G211" s="1748"/>
      <c r="H211" s="1748"/>
      <c r="I211" s="1748"/>
      <c r="J211" s="1748"/>
      <c r="K211" s="1748"/>
      <c r="L211" s="1748"/>
      <c r="M211" s="1748"/>
      <c r="N211" s="1748"/>
      <c r="O211" s="1748"/>
      <c r="P211" s="6"/>
      <c r="Q211" s="6"/>
      <c r="R211" s="6"/>
      <c r="S211" s="6"/>
    </row>
    <row r="212" spans="1:19" s="55" customFormat="1" ht="15" customHeight="1" x14ac:dyDescent="0.2">
      <c r="A212" s="6"/>
      <c r="B212" s="6"/>
      <c r="C212" s="1748"/>
      <c r="D212" s="1748"/>
      <c r="E212" s="1748"/>
      <c r="F212" s="1748"/>
      <c r="G212" s="1748"/>
      <c r="H212" s="1748"/>
      <c r="I212" s="1748"/>
      <c r="J212" s="1748"/>
      <c r="K212" s="1748"/>
      <c r="L212" s="1748"/>
      <c r="M212" s="1748"/>
      <c r="N212" s="1748"/>
      <c r="O212" s="1748"/>
      <c r="P212" s="6"/>
      <c r="Q212" s="6"/>
      <c r="R212" s="6"/>
      <c r="S212" s="6"/>
    </row>
    <row r="213" spans="1:19" s="55" customFormat="1" ht="15" customHeight="1" x14ac:dyDescent="0.2">
      <c r="A213" s="6"/>
      <c r="B213" s="6"/>
      <c r="C213" s="1748"/>
      <c r="D213" s="1748"/>
      <c r="E213" s="1748"/>
      <c r="F213" s="1748"/>
      <c r="G213" s="1748"/>
      <c r="H213" s="1748"/>
      <c r="I213" s="1748"/>
      <c r="J213" s="1748"/>
      <c r="K213" s="1748"/>
      <c r="L213" s="1748"/>
      <c r="M213" s="1748"/>
      <c r="N213" s="1748"/>
      <c r="O213" s="1748"/>
      <c r="P213" s="6"/>
      <c r="Q213" s="6"/>
      <c r="R213" s="6"/>
      <c r="S213" s="6"/>
    </row>
    <row r="214" spans="1:19" s="55" customFormat="1" ht="15" customHeight="1" x14ac:dyDescent="0.2">
      <c r="A214" s="6"/>
      <c r="B214" s="6"/>
      <c r="C214" s="1748"/>
      <c r="D214" s="1748"/>
      <c r="E214" s="1748"/>
      <c r="F214" s="1748"/>
      <c r="G214" s="1748"/>
      <c r="H214" s="1748"/>
      <c r="I214" s="1748"/>
      <c r="J214" s="1748"/>
      <c r="K214" s="1748"/>
      <c r="L214" s="1748"/>
      <c r="M214" s="1748"/>
      <c r="N214" s="1748"/>
      <c r="O214" s="1748"/>
      <c r="P214" s="6"/>
      <c r="Q214" s="6"/>
      <c r="R214" s="6"/>
      <c r="S214" s="6"/>
    </row>
    <row r="215" spans="1:19" s="55" customFormat="1" ht="15" customHeight="1" x14ac:dyDescent="0.2">
      <c r="A215" s="6"/>
      <c r="B215" s="6"/>
      <c r="C215" s="1748"/>
      <c r="D215" s="1748"/>
      <c r="E215" s="1748"/>
      <c r="F215" s="1748"/>
      <c r="G215" s="1748"/>
      <c r="H215" s="1748"/>
      <c r="I215" s="1748"/>
      <c r="J215" s="1748"/>
      <c r="K215" s="1748"/>
      <c r="L215" s="1748"/>
      <c r="M215" s="1748"/>
      <c r="N215" s="1748"/>
      <c r="O215" s="1748"/>
      <c r="P215" s="6"/>
      <c r="Q215" s="6"/>
      <c r="R215" s="6"/>
      <c r="S215" s="6"/>
    </row>
    <row r="216" spans="1:19" s="55" customFormat="1" ht="15" customHeight="1" x14ac:dyDescent="0.2">
      <c r="A216" s="6"/>
      <c r="B216" s="6"/>
      <c r="C216" s="1748"/>
      <c r="D216" s="1748"/>
      <c r="E216" s="1748"/>
      <c r="F216" s="1748"/>
      <c r="G216" s="1748"/>
      <c r="H216" s="1748"/>
      <c r="I216" s="1748"/>
      <c r="J216" s="1748"/>
      <c r="K216" s="1748"/>
      <c r="L216" s="1748"/>
      <c r="M216" s="1748"/>
      <c r="N216" s="1748"/>
      <c r="O216" s="1748"/>
      <c r="P216" s="6"/>
      <c r="Q216" s="6"/>
      <c r="R216" s="6"/>
      <c r="S216" s="6"/>
    </row>
    <row r="217" spans="1:19" s="55" customFormat="1" ht="15" customHeight="1" x14ac:dyDescent="0.2">
      <c r="A217" s="6"/>
      <c r="B217" s="6"/>
      <c r="C217" s="1748"/>
      <c r="D217" s="1748"/>
      <c r="E217" s="1748"/>
      <c r="F217" s="1748"/>
      <c r="G217" s="1748"/>
      <c r="H217" s="1748"/>
      <c r="I217" s="1748"/>
      <c r="J217" s="1748"/>
      <c r="K217" s="1748"/>
      <c r="L217" s="1748"/>
      <c r="M217" s="1748"/>
      <c r="N217" s="1748"/>
      <c r="O217" s="1748"/>
      <c r="P217" s="6"/>
      <c r="Q217" s="6"/>
      <c r="R217" s="6"/>
      <c r="S217" s="6"/>
    </row>
    <row r="218" spans="1:19" s="55" customFormat="1" ht="15" customHeight="1" x14ac:dyDescent="0.2">
      <c r="A218" s="6"/>
      <c r="B218" s="6"/>
      <c r="C218" s="1748"/>
      <c r="D218" s="1748"/>
      <c r="E218" s="1748"/>
      <c r="F218" s="1748"/>
      <c r="G218" s="1748"/>
      <c r="H218" s="1748"/>
      <c r="I218" s="1748"/>
      <c r="J218" s="1748"/>
      <c r="K218" s="1748"/>
      <c r="L218" s="1748"/>
      <c r="M218" s="1748"/>
      <c r="N218" s="1748"/>
      <c r="O218" s="1748"/>
      <c r="P218" s="6"/>
      <c r="Q218" s="6"/>
      <c r="R218" s="6"/>
      <c r="S218" s="6"/>
    </row>
    <row r="219" spans="1:19" s="55" customFormat="1" ht="15" customHeight="1" x14ac:dyDescent="0.2">
      <c r="A219" s="6"/>
      <c r="B219" s="6"/>
      <c r="C219" s="1748"/>
      <c r="D219" s="1748"/>
      <c r="E219" s="1748"/>
      <c r="F219" s="1748"/>
      <c r="G219" s="1748"/>
      <c r="H219" s="1748"/>
      <c r="I219" s="1748"/>
      <c r="J219" s="1748"/>
      <c r="K219" s="1748"/>
      <c r="L219" s="1748"/>
      <c r="M219" s="1748"/>
      <c r="N219" s="1748"/>
      <c r="O219" s="1748"/>
      <c r="P219" s="6"/>
      <c r="Q219" s="6"/>
      <c r="R219" s="6"/>
      <c r="S219" s="6"/>
    </row>
    <row r="220" spans="1:19" s="55" customFormat="1" ht="15" customHeight="1" x14ac:dyDescent="0.2">
      <c r="A220" s="6"/>
      <c r="B220" s="6"/>
      <c r="C220" s="1748"/>
      <c r="D220" s="1748"/>
      <c r="E220" s="1748"/>
      <c r="F220" s="1748"/>
      <c r="G220" s="1748"/>
      <c r="H220" s="1748"/>
      <c r="I220" s="1748"/>
      <c r="J220" s="1748"/>
      <c r="K220" s="1748"/>
      <c r="L220" s="1748"/>
      <c r="M220" s="1748"/>
      <c r="N220" s="1748"/>
      <c r="O220" s="1748"/>
      <c r="P220" s="6"/>
      <c r="Q220" s="6"/>
      <c r="R220" s="6"/>
      <c r="S220" s="6"/>
    </row>
    <row r="221" spans="1:19" s="55" customFormat="1" ht="15" customHeight="1" x14ac:dyDescent="0.2">
      <c r="A221" s="6"/>
      <c r="B221" s="6"/>
      <c r="C221" s="1748"/>
      <c r="D221" s="1748"/>
      <c r="E221" s="1748"/>
      <c r="F221" s="1748"/>
      <c r="G221" s="1748"/>
      <c r="H221" s="1748"/>
      <c r="I221" s="1748"/>
      <c r="J221" s="1748"/>
      <c r="K221" s="1748"/>
      <c r="L221" s="1748"/>
      <c r="M221" s="1748"/>
      <c r="N221" s="1748"/>
      <c r="O221" s="1748"/>
      <c r="P221" s="6"/>
      <c r="Q221" s="6"/>
      <c r="R221" s="6"/>
      <c r="S221" s="6"/>
    </row>
    <row r="222" spans="1:19" s="55" customFormat="1" ht="15" customHeight="1" x14ac:dyDescent="0.2">
      <c r="A222" s="6"/>
      <c r="B222" s="6"/>
      <c r="C222" s="1748"/>
      <c r="D222" s="1748"/>
      <c r="E222" s="1748"/>
      <c r="F222" s="1748"/>
      <c r="G222" s="1748"/>
      <c r="H222" s="1748"/>
      <c r="I222" s="1748"/>
      <c r="J222" s="1748"/>
      <c r="K222" s="1748"/>
      <c r="L222" s="1748"/>
      <c r="M222" s="1748"/>
      <c r="N222" s="1748"/>
      <c r="O222" s="1748"/>
      <c r="P222" s="6"/>
      <c r="Q222" s="6"/>
      <c r="R222" s="6"/>
      <c r="S222" s="6"/>
    </row>
    <row r="223" spans="1:19" s="55" customFormat="1" ht="15" customHeight="1" x14ac:dyDescent="0.2">
      <c r="A223" s="6"/>
      <c r="B223" s="6"/>
      <c r="C223" s="1748"/>
      <c r="D223" s="1748"/>
      <c r="E223" s="1748"/>
      <c r="F223" s="1748"/>
      <c r="G223" s="1748"/>
      <c r="H223" s="1748"/>
      <c r="I223" s="1748"/>
      <c r="J223" s="1748"/>
      <c r="K223" s="1748"/>
      <c r="L223" s="1748"/>
      <c r="M223" s="1748"/>
      <c r="N223" s="1748"/>
      <c r="O223" s="1748"/>
      <c r="P223" s="6"/>
      <c r="Q223" s="6"/>
      <c r="R223" s="6"/>
      <c r="S223" s="6"/>
    </row>
    <row r="224" spans="1:19" s="55" customFormat="1" ht="15" customHeight="1" x14ac:dyDescent="0.2">
      <c r="A224" s="6"/>
      <c r="B224" s="6"/>
      <c r="C224" s="1748"/>
      <c r="D224" s="1748"/>
      <c r="E224" s="1748"/>
      <c r="F224" s="1748"/>
      <c r="G224" s="1748"/>
      <c r="H224" s="1748"/>
      <c r="I224" s="1748"/>
      <c r="J224" s="1748"/>
      <c r="K224" s="1748"/>
      <c r="L224" s="1748"/>
      <c r="M224" s="1748"/>
      <c r="N224" s="1748"/>
      <c r="O224" s="1748"/>
      <c r="P224" s="6"/>
      <c r="Q224" s="6"/>
      <c r="R224" s="6"/>
      <c r="S224" s="6"/>
    </row>
    <row r="225" spans="1:19" s="55" customFormat="1" ht="15" customHeight="1" x14ac:dyDescent="0.2">
      <c r="A225" s="6"/>
      <c r="B225" s="6"/>
      <c r="C225" s="1748"/>
      <c r="D225" s="1748"/>
      <c r="E225" s="1748"/>
      <c r="F225" s="1748"/>
      <c r="G225" s="1748"/>
      <c r="H225" s="1748"/>
      <c r="I225" s="1748"/>
      <c r="J225" s="1748"/>
      <c r="K225" s="1748"/>
      <c r="L225" s="1748"/>
      <c r="M225" s="1748"/>
      <c r="N225" s="1748"/>
      <c r="O225" s="1748"/>
      <c r="P225" s="6"/>
      <c r="Q225" s="6"/>
      <c r="R225" s="6"/>
      <c r="S225" s="6"/>
    </row>
    <row r="226" spans="1:19" s="55" customFormat="1" ht="15" customHeight="1" x14ac:dyDescent="0.2">
      <c r="A226" s="6"/>
      <c r="B226" s="6"/>
      <c r="C226" s="1748"/>
      <c r="D226" s="1748"/>
      <c r="E226" s="1748"/>
      <c r="F226" s="1748"/>
      <c r="G226" s="1748"/>
      <c r="H226" s="1748"/>
      <c r="I226" s="1748"/>
      <c r="J226" s="1748"/>
      <c r="K226" s="1748"/>
      <c r="L226" s="1748"/>
      <c r="M226" s="1748"/>
      <c r="N226" s="1748"/>
      <c r="O226" s="1748"/>
      <c r="P226" s="6"/>
      <c r="Q226" s="6"/>
      <c r="R226" s="6"/>
      <c r="S226" s="6"/>
    </row>
    <row r="227" spans="1:19" s="55" customFormat="1" ht="15" customHeight="1" x14ac:dyDescent="0.2">
      <c r="A227" s="6"/>
      <c r="B227" s="6"/>
      <c r="C227" s="1748"/>
      <c r="D227" s="1748"/>
      <c r="E227" s="1748"/>
      <c r="F227" s="1748"/>
      <c r="G227" s="1748"/>
      <c r="H227" s="1748"/>
      <c r="I227" s="1748"/>
      <c r="J227" s="1748"/>
      <c r="K227" s="1748"/>
      <c r="L227" s="1748"/>
      <c r="M227" s="1748"/>
      <c r="N227" s="1748"/>
      <c r="O227" s="1748"/>
      <c r="P227" s="6"/>
      <c r="Q227" s="6"/>
      <c r="R227" s="6"/>
      <c r="S227" s="6"/>
    </row>
    <row r="228" spans="1:19" s="55" customFormat="1" ht="15" customHeight="1" x14ac:dyDescent="0.2">
      <c r="A228" s="6"/>
      <c r="B228" s="6"/>
      <c r="C228" s="1748"/>
      <c r="D228" s="1748"/>
      <c r="E228" s="1748"/>
      <c r="F228" s="1748"/>
      <c r="G228" s="1748"/>
      <c r="H228" s="1748"/>
      <c r="I228" s="1748"/>
      <c r="J228" s="1748"/>
      <c r="K228" s="1748"/>
      <c r="L228" s="1748"/>
      <c r="M228" s="1748"/>
      <c r="N228" s="1748"/>
      <c r="O228" s="1748"/>
      <c r="P228" s="6"/>
      <c r="Q228" s="6"/>
      <c r="R228" s="6"/>
      <c r="S228" s="6"/>
    </row>
    <row r="229" spans="1:19" s="55" customFormat="1" ht="15" customHeight="1" x14ac:dyDescent="0.2">
      <c r="A229" s="6"/>
      <c r="B229" s="6"/>
      <c r="C229" s="1748"/>
      <c r="D229" s="1748"/>
      <c r="E229" s="1748"/>
      <c r="F229" s="1748"/>
      <c r="G229" s="1748"/>
      <c r="H229" s="1748"/>
      <c r="I229" s="1748"/>
      <c r="J229" s="1748"/>
      <c r="K229" s="1748"/>
      <c r="L229" s="1748"/>
      <c r="M229" s="1748"/>
      <c r="N229" s="1748"/>
      <c r="O229" s="1748"/>
      <c r="P229" s="6"/>
      <c r="Q229" s="6"/>
      <c r="R229" s="6"/>
      <c r="S229" s="6"/>
    </row>
    <row r="230" spans="1:19" s="55" customFormat="1" ht="15" customHeight="1" x14ac:dyDescent="0.2">
      <c r="A230" s="6"/>
      <c r="B230" s="6"/>
      <c r="C230" s="1748"/>
      <c r="D230" s="1748"/>
      <c r="E230" s="1748"/>
      <c r="F230" s="1748"/>
      <c r="G230" s="1748"/>
      <c r="H230" s="1748"/>
      <c r="I230" s="1748"/>
      <c r="J230" s="1748"/>
      <c r="K230" s="1748"/>
      <c r="L230" s="1748"/>
      <c r="M230" s="1748"/>
      <c r="N230" s="1748"/>
      <c r="O230" s="1748"/>
      <c r="P230" s="6"/>
      <c r="Q230" s="6"/>
      <c r="R230" s="6"/>
      <c r="S230" s="6"/>
    </row>
    <row r="231" spans="1:19" s="55" customFormat="1" ht="15" customHeight="1" x14ac:dyDescent="0.2">
      <c r="A231" s="6"/>
      <c r="B231" s="6"/>
      <c r="C231" s="1748"/>
      <c r="D231" s="1748"/>
      <c r="E231" s="1748"/>
      <c r="F231" s="1748"/>
      <c r="G231" s="1748"/>
      <c r="H231" s="1748"/>
      <c r="I231" s="1748"/>
      <c r="J231" s="1748"/>
      <c r="K231" s="1748"/>
      <c r="L231" s="1748"/>
      <c r="M231" s="1748"/>
      <c r="N231" s="1748"/>
      <c r="O231" s="1748"/>
      <c r="P231" s="6"/>
      <c r="Q231" s="6"/>
      <c r="R231" s="6"/>
      <c r="S231" s="6"/>
    </row>
    <row r="232" spans="1:19" s="55" customFormat="1" ht="15" customHeight="1" x14ac:dyDescent="0.2">
      <c r="A232" s="6"/>
      <c r="B232" s="6"/>
      <c r="C232" s="1748"/>
      <c r="D232" s="1748"/>
      <c r="E232" s="1748"/>
      <c r="F232" s="1748"/>
      <c r="G232" s="1748"/>
      <c r="H232" s="1748"/>
      <c r="I232" s="1748"/>
      <c r="J232" s="1748"/>
      <c r="K232" s="1748"/>
      <c r="L232" s="1748"/>
      <c r="M232" s="1748"/>
      <c r="N232" s="1748"/>
      <c r="O232" s="1748"/>
      <c r="P232" s="6"/>
      <c r="Q232" s="6"/>
      <c r="R232" s="6"/>
      <c r="S232" s="6"/>
    </row>
    <row r="233" spans="1:19" s="55" customFormat="1" ht="15" customHeight="1" x14ac:dyDescent="0.2">
      <c r="A233" s="6"/>
      <c r="B233" s="6"/>
      <c r="C233" s="1748"/>
      <c r="D233" s="1748"/>
      <c r="E233" s="1748"/>
      <c r="F233" s="1748"/>
      <c r="G233" s="1748"/>
      <c r="H233" s="1748"/>
      <c r="I233" s="1748"/>
      <c r="J233" s="1748"/>
      <c r="K233" s="1748"/>
      <c r="L233" s="1748"/>
      <c r="M233" s="1748"/>
      <c r="N233" s="1748"/>
      <c r="O233" s="1748"/>
      <c r="P233" s="6"/>
      <c r="Q233" s="6"/>
      <c r="R233" s="6"/>
      <c r="S233" s="6"/>
    </row>
    <row r="234" spans="1:19" s="55" customFormat="1" ht="15" customHeight="1" x14ac:dyDescent="0.2">
      <c r="A234" s="6"/>
      <c r="B234" s="6"/>
      <c r="C234" s="1748"/>
      <c r="D234" s="1748"/>
      <c r="E234" s="1748"/>
      <c r="F234" s="1748"/>
      <c r="G234" s="1748"/>
      <c r="H234" s="1748"/>
      <c r="I234" s="1748"/>
      <c r="J234" s="1748"/>
      <c r="K234" s="1748"/>
      <c r="L234" s="1748"/>
      <c r="M234" s="1748"/>
      <c r="N234" s="1748"/>
      <c r="O234" s="1748"/>
      <c r="P234" s="6"/>
      <c r="Q234" s="6"/>
      <c r="R234" s="6"/>
      <c r="S234" s="6"/>
    </row>
    <row r="235" spans="1:19" s="55" customFormat="1" ht="15" customHeight="1" x14ac:dyDescent="0.2">
      <c r="A235" s="6"/>
      <c r="B235" s="6"/>
      <c r="C235" s="1748"/>
      <c r="D235" s="1748"/>
      <c r="E235" s="1748"/>
      <c r="F235" s="1748"/>
      <c r="G235" s="1748"/>
      <c r="H235" s="1748"/>
      <c r="I235" s="1748"/>
      <c r="J235" s="1748"/>
      <c r="K235" s="1748"/>
      <c r="L235" s="1748"/>
      <c r="M235" s="1748"/>
      <c r="N235" s="1748"/>
      <c r="O235" s="1748"/>
      <c r="P235" s="6"/>
      <c r="Q235" s="6"/>
      <c r="R235" s="6"/>
      <c r="S235" s="6"/>
    </row>
    <row r="236" spans="1:19" s="55" customFormat="1" ht="15" customHeight="1" x14ac:dyDescent="0.2">
      <c r="A236" s="6"/>
      <c r="B236" s="6"/>
      <c r="C236" s="1748"/>
      <c r="D236" s="1748"/>
      <c r="E236" s="1748"/>
      <c r="F236" s="1748"/>
      <c r="G236" s="1748"/>
      <c r="H236" s="1748"/>
      <c r="I236" s="1748"/>
      <c r="J236" s="1748"/>
      <c r="K236" s="1748"/>
      <c r="L236" s="1748"/>
      <c r="M236" s="1748"/>
      <c r="N236" s="1748"/>
      <c r="O236" s="1748"/>
      <c r="P236" s="6"/>
      <c r="Q236" s="6"/>
      <c r="R236" s="6"/>
      <c r="S236" s="6"/>
    </row>
    <row r="237" spans="1:19" s="55" customFormat="1" ht="15" customHeight="1" x14ac:dyDescent="0.2">
      <c r="A237" s="6"/>
      <c r="B237" s="6"/>
      <c r="C237" s="1748"/>
      <c r="D237" s="1748"/>
      <c r="E237" s="1748"/>
      <c r="F237" s="1748"/>
      <c r="G237" s="1748"/>
      <c r="H237" s="1748"/>
      <c r="I237" s="1748"/>
      <c r="J237" s="1748"/>
      <c r="K237" s="1748"/>
      <c r="L237" s="1748"/>
      <c r="M237" s="1748"/>
      <c r="N237" s="1748"/>
      <c r="O237" s="1748"/>
      <c r="P237" s="6"/>
      <c r="Q237" s="6"/>
      <c r="R237" s="6"/>
      <c r="S237" s="6"/>
    </row>
    <row r="238" spans="1:19" s="55" customFormat="1" ht="15" customHeight="1" x14ac:dyDescent="0.2">
      <c r="A238" s="6"/>
      <c r="B238" s="6"/>
      <c r="C238" s="1748"/>
      <c r="D238" s="1748"/>
      <c r="E238" s="1748"/>
      <c r="F238" s="1748"/>
      <c r="G238" s="1748"/>
      <c r="H238" s="1748"/>
      <c r="I238" s="1748"/>
      <c r="J238" s="1748"/>
      <c r="K238" s="1748"/>
      <c r="L238" s="1748"/>
      <c r="M238" s="1748"/>
      <c r="N238" s="1748"/>
      <c r="O238" s="1748"/>
      <c r="P238" s="6"/>
      <c r="Q238" s="6"/>
      <c r="R238" s="6"/>
      <c r="S238" s="6"/>
    </row>
    <row r="239" spans="1:19" s="55" customFormat="1" ht="15" customHeight="1" x14ac:dyDescent="0.2">
      <c r="A239" s="6"/>
      <c r="B239" s="6"/>
      <c r="C239" s="1748"/>
      <c r="D239" s="1748"/>
      <c r="E239" s="1748"/>
      <c r="F239" s="1748"/>
      <c r="G239" s="1748"/>
      <c r="H239" s="1748"/>
      <c r="I239" s="1748"/>
      <c r="J239" s="1748"/>
      <c r="K239" s="1748"/>
      <c r="L239" s="1748"/>
      <c r="M239" s="1748"/>
      <c r="N239" s="1748"/>
      <c r="O239" s="1748"/>
      <c r="P239" s="6"/>
      <c r="Q239" s="6"/>
      <c r="R239" s="6"/>
      <c r="S239" s="6"/>
    </row>
    <row r="240" spans="1:19" s="55" customFormat="1" ht="15" customHeight="1" x14ac:dyDescent="0.2">
      <c r="A240" s="6"/>
      <c r="B240" s="6"/>
      <c r="C240" s="1748"/>
      <c r="D240" s="1748"/>
      <c r="E240" s="1748"/>
      <c r="F240" s="1748"/>
      <c r="G240" s="1748"/>
      <c r="H240" s="1748"/>
      <c r="I240" s="1748"/>
      <c r="J240" s="1748"/>
      <c r="K240" s="1748"/>
      <c r="L240" s="1748"/>
      <c r="M240" s="1748"/>
      <c r="N240" s="1748"/>
      <c r="O240" s="1748"/>
      <c r="P240" s="6"/>
      <c r="Q240" s="6"/>
      <c r="R240" s="6"/>
      <c r="S240" s="6"/>
    </row>
    <row r="241" spans="1:19" s="55" customFormat="1" ht="15" customHeight="1" x14ac:dyDescent="0.2">
      <c r="A241" s="6"/>
      <c r="B241" s="6"/>
      <c r="C241" s="1748"/>
      <c r="D241" s="1748"/>
      <c r="E241" s="1748"/>
      <c r="F241" s="1748"/>
      <c r="G241" s="1748"/>
      <c r="H241" s="1748"/>
      <c r="I241" s="1748"/>
      <c r="J241" s="1748"/>
      <c r="K241" s="1748"/>
      <c r="L241" s="1748"/>
      <c r="M241" s="1748"/>
      <c r="N241" s="1748"/>
      <c r="O241" s="1748"/>
      <c r="P241" s="6"/>
      <c r="Q241" s="6"/>
      <c r="R241" s="6"/>
      <c r="S241" s="6"/>
    </row>
    <row r="242" spans="1:19" s="55" customFormat="1" ht="15" customHeight="1" x14ac:dyDescent="0.2">
      <c r="A242" s="6"/>
      <c r="B242" s="6"/>
      <c r="C242" s="1748"/>
      <c r="D242" s="1748"/>
      <c r="E242" s="1748"/>
      <c r="F242" s="1748"/>
      <c r="G242" s="1748"/>
      <c r="H242" s="1748"/>
      <c r="I242" s="1748"/>
      <c r="J242" s="1748"/>
      <c r="K242" s="1748"/>
      <c r="L242" s="1748"/>
      <c r="M242" s="1748"/>
      <c r="N242" s="1748"/>
      <c r="O242" s="1748"/>
      <c r="P242" s="6"/>
      <c r="Q242" s="6"/>
      <c r="R242" s="6"/>
      <c r="S242" s="6"/>
    </row>
    <row r="243" spans="1:19" s="55" customFormat="1" ht="15" customHeight="1" x14ac:dyDescent="0.2">
      <c r="A243" s="6"/>
      <c r="B243" s="6"/>
      <c r="C243" s="1748"/>
      <c r="D243" s="1748"/>
      <c r="E243" s="1748"/>
      <c r="F243" s="1748"/>
      <c r="G243" s="1748"/>
      <c r="H243" s="1748"/>
      <c r="I243" s="1748"/>
      <c r="J243" s="1748"/>
      <c r="K243" s="1748"/>
      <c r="L243" s="1748"/>
      <c r="M243" s="1748"/>
      <c r="N243" s="1748"/>
      <c r="O243" s="1748"/>
      <c r="P243" s="6"/>
      <c r="Q243" s="6"/>
      <c r="R243" s="6"/>
      <c r="S243" s="6"/>
    </row>
    <row r="244" spans="1:19" s="55" customFormat="1" ht="15" customHeight="1" x14ac:dyDescent="0.2">
      <c r="A244" s="6"/>
      <c r="B244" s="6"/>
      <c r="C244" s="1748"/>
      <c r="D244" s="1748"/>
      <c r="E244" s="1748"/>
      <c r="F244" s="1748"/>
      <c r="G244" s="1748"/>
      <c r="H244" s="1748"/>
      <c r="I244" s="1748"/>
      <c r="J244" s="1748"/>
      <c r="K244" s="1748"/>
      <c r="L244" s="1748"/>
      <c r="M244" s="1748"/>
      <c r="N244" s="1748"/>
      <c r="O244" s="1748"/>
      <c r="P244" s="6"/>
      <c r="Q244" s="6"/>
      <c r="R244" s="6"/>
      <c r="S244" s="6"/>
    </row>
    <row r="245" spans="1:19" s="55" customFormat="1" ht="15" customHeight="1" x14ac:dyDescent="0.2">
      <c r="A245" s="6"/>
      <c r="B245" s="6"/>
      <c r="C245" s="1748"/>
      <c r="D245" s="1748"/>
      <c r="E245" s="1748"/>
      <c r="F245" s="1748"/>
      <c r="G245" s="1748"/>
      <c r="H245" s="1748"/>
      <c r="I245" s="1748"/>
      <c r="J245" s="1748"/>
      <c r="K245" s="1748"/>
      <c r="L245" s="1748"/>
      <c r="M245" s="1748"/>
      <c r="N245" s="1748"/>
      <c r="O245" s="1748"/>
      <c r="P245" s="6"/>
      <c r="Q245" s="6"/>
      <c r="R245" s="6"/>
      <c r="S245" s="6"/>
    </row>
    <row r="246" spans="1:19" s="55" customFormat="1" ht="15" customHeight="1" x14ac:dyDescent="0.2">
      <c r="A246" s="6"/>
      <c r="B246" s="6"/>
      <c r="C246" s="1748"/>
      <c r="D246" s="1748"/>
      <c r="E246" s="1748"/>
      <c r="F246" s="1748"/>
      <c r="G246" s="1748"/>
      <c r="H246" s="1748"/>
      <c r="I246" s="1748"/>
      <c r="J246" s="1748"/>
      <c r="K246" s="1748"/>
      <c r="L246" s="1748"/>
      <c r="M246" s="1748"/>
      <c r="N246" s="1748"/>
      <c r="O246" s="1748"/>
      <c r="P246" s="6"/>
      <c r="Q246" s="6"/>
      <c r="R246" s="6"/>
      <c r="S246" s="6"/>
    </row>
    <row r="247" spans="1:19" s="55" customFormat="1" ht="15" customHeight="1" x14ac:dyDescent="0.2">
      <c r="A247" s="6"/>
      <c r="B247" s="6"/>
      <c r="C247" s="1748"/>
      <c r="D247" s="1748"/>
      <c r="E247" s="1748"/>
      <c r="F247" s="1748"/>
      <c r="G247" s="1748"/>
      <c r="H247" s="1748"/>
      <c r="I247" s="1748"/>
      <c r="J247" s="1748"/>
      <c r="K247" s="1748"/>
      <c r="L247" s="1748"/>
      <c r="M247" s="1748"/>
      <c r="N247" s="1748"/>
      <c r="O247" s="1748"/>
      <c r="P247" s="6"/>
      <c r="Q247" s="6"/>
      <c r="R247" s="6"/>
      <c r="S247" s="6"/>
    </row>
    <row r="248" spans="1:19" s="55" customFormat="1" ht="15" customHeight="1" x14ac:dyDescent="0.2">
      <c r="A248" s="6"/>
      <c r="B248" s="6"/>
      <c r="C248" s="1748"/>
      <c r="D248" s="1748"/>
      <c r="E248" s="1748"/>
      <c r="F248" s="1748"/>
      <c r="G248" s="1748"/>
      <c r="H248" s="1748"/>
      <c r="I248" s="1748"/>
      <c r="J248" s="1748"/>
      <c r="K248" s="1748"/>
      <c r="L248" s="1748"/>
      <c r="M248" s="1748"/>
      <c r="N248" s="1748"/>
      <c r="O248" s="1748"/>
      <c r="P248" s="6"/>
      <c r="Q248" s="6"/>
      <c r="R248" s="6"/>
      <c r="S248" s="6"/>
    </row>
    <row r="249" spans="1:19" s="55" customFormat="1" ht="15" customHeight="1" x14ac:dyDescent="0.2">
      <c r="A249" s="6"/>
      <c r="B249" s="6"/>
      <c r="C249" s="1748"/>
      <c r="D249" s="1748"/>
      <c r="E249" s="1748"/>
      <c r="F249" s="1748"/>
      <c r="G249" s="1748"/>
      <c r="H249" s="1748"/>
      <c r="I249" s="1748"/>
      <c r="J249" s="1748"/>
      <c r="K249" s="1748"/>
      <c r="L249" s="1748"/>
      <c r="M249" s="1748"/>
      <c r="N249" s="1748"/>
      <c r="O249" s="1748"/>
      <c r="P249" s="6"/>
      <c r="Q249" s="6"/>
      <c r="R249" s="6"/>
      <c r="S249" s="6"/>
    </row>
    <row r="250" spans="1:19" s="55" customFormat="1" ht="15" customHeight="1" x14ac:dyDescent="0.2">
      <c r="A250" s="6"/>
      <c r="B250" s="6"/>
      <c r="C250" s="1748"/>
      <c r="D250" s="1748"/>
      <c r="E250" s="1748"/>
      <c r="F250" s="1748"/>
      <c r="G250" s="1748"/>
      <c r="H250" s="1748"/>
      <c r="I250" s="1748"/>
      <c r="J250" s="1748"/>
      <c r="K250" s="1748"/>
      <c r="L250" s="1748"/>
      <c r="M250" s="1748"/>
      <c r="N250" s="1748"/>
      <c r="O250" s="1748"/>
      <c r="P250" s="6"/>
      <c r="Q250" s="6"/>
      <c r="R250" s="6"/>
      <c r="S250" s="6"/>
    </row>
    <row r="251" spans="1:19" s="55" customFormat="1" ht="15" customHeight="1" x14ac:dyDescent="0.2">
      <c r="A251" s="6"/>
      <c r="B251" s="6"/>
      <c r="C251" s="1748"/>
      <c r="D251" s="1748"/>
      <c r="E251" s="1748"/>
      <c r="F251" s="1748"/>
      <c r="G251" s="1748"/>
      <c r="H251" s="1748"/>
      <c r="I251" s="1748"/>
      <c r="J251" s="1748"/>
      <c r="K251" s="1748"/>
      <c r="L251" s="1748"/>
      <c r="M251" s="1748"/>
      <c r="N251" s="1748"/>
      <c r="O251" s="1748"/>
      <c r="P251" s="6"/>
      <c r="Q251" s="6"/>
      <c r="R251" s="6"/>
      <c r="S251" s="6"/>
    </row>
    <row r="252" spans="1:19" s="55" customFormat="1" ht="15" customHeight="1" x14ac:dyDescent="0.2">
      <c r="A252" s="6"/>
      <c r="B252" s="6"/>
      <c r="C252" s="1748"/>
      <c r="D252" s="1748"/>
      <c r="E252" s="1748"/>
      <c r="F252" s="1748"/>
      <c r="G252" s="1748"/>
      <c r="H252" s="1748"/>
      <c r="I252" s="1748"/>
      <c r="J252" s="1748"/>
      <c r="K252" s="1748"/>
      <c r="L252" s="1748"/>
      <c r="M252" s="1748"/>
      <c r="N252" s="1748"/>
      <c r="O252" s="1748"/>
      <c r="P252" s="6"/>
      <c r="Q252" s="6"/>
      <c r="R252" s="6"/>
      <c r="S252" s="6"/>
    </row>
    <row r="253" spans="1:19" s="55" customFormat="1" ht="15" customHeight="1" x14ac:dyDescent="0.2">
      <c r="A253" s="6"/>
      <c r="B253" s="6"/>
      <c r="C253" s="1748"/>
      <c r="D253" s="1748"/>
      <c r="E253" s="1748"/>
      <c r="F253" s="1748"/>
      <c r="G253" s="1748"/>
      <c r="H253" s="1748"/>
      <c r="I253" s="1748"/>
      <c r="J253" s="1748"/>
      <c r="K253" s="1748"/>
      <c r="L253" s="1748"/>
      <c r="M253" s="1748"/>
      <c r="N253" s="1748"/>
      <c r="O253" s="1748"/>
      <c r="P253" s="6"/>
      <c r="Q253" s="6"/>
      <c r="R253" s="6"/>
      <c r="S253" s="6"/>
    </row>
    <row r="254" spans="1:19" s="55" customFormat="1" ht="15" customHeight="1" x14ac:dyDescent="0.2">
      <c r="A254" s="6"/>
      <c r="B254" s="6"/>
      <c r="C254" s="1748"/>
      <c r="D254" s="1748"/>
      <c r="E254" s="1748"/>
      <c r="F254" s="1748"/>
      <c r="G254" s="1748"/>
      <c r="H254" s="1748"/>
      <c r="I254" s="1748"/>
      <c r="J254" s="1748"/>
      <c r="K254" s="1748"/>
      <c r="L254" s="1748"/>
      <c r="M254" s="1748"/>
      <c r="N254" s="1748"/>
      <c r="O254" s="1748"/>
      <c r="P254" s="6"/>
      <c r="Q254" s="6"/>
      <c r="R254" s="6"/>
      <c r="S254" s="6"/>
    </row>
    <row r="255" spans="1:19" s="55" customFormat="1" ht="15" customHeight="1" x14ac:dyDescent="0.2">
      <c r="A255" s="6"/>
      <c r="B255" s="6"/>
      <c r="C255" s="1748"/>
      <c r="D255" s="1748"/>
      <c r="E255" s="1748"/>
      <c r="F255" s="1748"/>
      <c r="G255" s="1748"/>
      <c r="H255" s="1748"/>
      <c r="I255" s="1748"/>
      <c r="J255" s="1748"/>
      <c r="K255" s="1748"/>
      <c r="L255" s="1748"/>
      <c r="M255" s="1748"/>
      <c r="N255" s="1748"/>
      <c r="O255" s="1748"/>
      <c r="P255" s="6"/>
      <c r="Q255" s="6"/>
      <c r="R255" s="6"/>
      <c r="S255" s="6"/>
    </row>
    <row r="256" spans="1:19" s="55" customFormat="1" ht="15" customHeight="1" x14ac:dyDescent="0.2">
      <c r="A256" s="6"/>
      <c r="B256" s="6"/>
      <c r="C256" s="1748"/>
      <c r="D256" s="1748"/>
      <c r="E256" s="1748"/>
      <c r="F256" s="1748"/>
      <c r="G256" s="1748"/>
      <c r="H256" s="1748"/>
      <c r="I256" s="1748"/>
      <c r="J256" s="1748"/>
      <c r="K256" s="1748"/>
      <c r="L256" s="1748"/>
      <c r="M256" s="1748"/>
      <c r="N256" s="1748"/>
      <c r="O256" s="1748"/>
      <c r="P256" s="6"/>
      <c r="Q256" s="6"/>
      <c r="R256" s="6"/>
      <c r="S256" s="6"/>
    </row>
    <row r="257" spans="1:19" s="55" customFormat="1" ht="15" customHeight="1" x14ac:dyDescent="0.2">
      <c r="A257" s="6"/>
      <c r="B257" s="6"/>
      <c r="C257" s="1748"/>
      <c r="D257" s="1748"/>
      <c r="E257" s="1748"/>
      <c r="F257" s="1748"/>
      <c r="G257" s="1748"/>
      <c r="H257" s="1748"/>
      <c r="I257" s="1748"/>
      <c r="J257" s="1748"/>
      <c r="K257" s="1748"/>
      <c r="L257" s="1748"/>
      <c r="M257" s="1748"/>
      <c r="N257" s="1748"/>
      <c r="O257" s="1748"/>
      <c r="P257" s="6"/>
      <c r="Q257" s="6"/>
      <c r="R257" s="6"/>
      <c r="S257" s="6"/>
    </row>
    <row r="258" spans="1:19" s="55" customFormat="1" ht="15" customHeight="1" x14ac:dyDescent="0.2">
      <c r="A258" s="6"/>
      <c r="B258" s="6"/>
      <c r="C258" s="1748"/>
      <c r="D258" s="1748"/>
      <c r="E258" s="1748"/>
      <c r="F258" s="1748"/>
      <c r="G258" s="1748"/>
      <c r="H258" s="1748"/>
      <c r="I258" s="1748"/>
      <c r="J258" s="1748"/>
      <c r="K258" s="1748"/>
      <c r="L258" s="1748"/>
      <c r="M258" s="1748"/>
      <c r="N258" s="1748"/>
      <c r="O258" s="1748"/>
      <c r="P258" s="6"/>
      <c r="Q258" s="6"/>
      <c r="R258" s="6"/>
      <c r="S258" s="6"/>
    </row>
    <row r="259" spans="1:19" s="55" customFormat="1" ht="15" customHeight="1" x14ac:dyDescent="0.2">
      <c r="A259" s="6"/>
      <c r="B259" s="6"/>
      <c r="C259" s="1748"/>
      <c r="D259" s="1748"/>
      <c r="E259" s="1748"/>
      <c r="F259" s="1748"/>
      <c r="G259" s="1748"/>
      <c r="H259" s="1748"/>
      <c r="I259" s="1748"/>
      <c r="J259" s="1748"/>
      <c r="K259" s="1748"/>
      <c r="L259" s="1748"/>
      <c r="M259" s="1748"/>
      <c r="N259" s="1748"/>
      <c r="O259" s="1748"/>
      <c r="P259" s="6"/>
      <c r="Q259" s="6"/>
      <c r="R259" s="6"/>
      <c r="S259" s="6"/>
    </row>
    <row r="260" spans="1:19" s="55" customFormat="1" ht="15" customHeight="1" x14ac:dyDescent="0.2">
      <c r="A260" s="6"/>
      <c r="B260" s="6"/>
      <c r="C260" s="1748"/>
      <c r="D260" s="1748"/>
      <c r="E260" s="1748"/>
      <c r="F260" s="1748"/>
      <c r="G260" s="1748"/>
      <c r="H260" s="1748"/>
      <c r="I260" s="1748"/>
      <c r="J260" s="1748"/>
      <c r="K260" s="1748"/>
      <c r="L260" s="1748"/>
      <c r="M260" s="1748"/>
      <c r="N260" s="1748"/>
      <c r="O260" s="1748"/>
      <c r="P260" s="6"/>
      <c r="Q260" s="6"/>
      <c r="R260" s="6"/>
      <c r="S260" s="6"/>
    </row>
    <row r="261" spans="1:19" s="55" customFormat="1" ht="15" customHeight="1" x14ac:dyDescent="0.2">
      <c r="A261" s="6"/>
      <c r="B261" s="6"/>
      <c r="C261" s="1748"/>
      <c r="D261" s="1748"/>
      <c r="E261" s="1748"/>
      <c r="F261" s="1748"/>
      <c r="G261" s="1748"/>
      <c r="H261" s="1748"/>
      <c r="I261" s="1748"/>
      <c r="J261" s="1748"/>
      <c r="K261" s="1748"/>
      <c r="L261" s="1748"/>
      <c r="M261" s="1748"/>
      <c r="N261" s="1748"/>
      <c r="O261" s="1748"/>
      <c r="P261" s="6"/>
      <c r="Q261" s="6"/>
      <c r="R261" s="6"/>
      <c r="S261" s="6"/>
    </row>
    <row r="262" spans="1:19" s="55" customFormat="1" ht="15" customHeight="1" x14ac:dyDescent="0.2">
      <c r="A262" s="6"/>
      <c r="B262" s="6"/>
      <c r="C262" s="1748"/>
      <c r="D262" s="1748"/>
      <c r="E262" s="1748"/>
      <c r="F262" s="1748"/>
      <c r="G262" s="1748"/>
      <c r="H262" s="1748"/>
      <c r="I262" s="1748"/>
      <c r="J262" s="1748"/>
      <c r="K262" s="1748"/>
      <c r="L262" s="1748"/>
      <c r="M262" s="1748"/>
      <c r="N262" s="1748"/>
      <c r="O262" s="1748"/>
      <c r="P262" s="6"/>
      <c r="Q262" s="6"/>
      <c r="R262" s="6"/>
      <c r="S262" s="6"/>
    </row>
    <row r="263" spans="1:19" s="55" customFormat="1" ht="15" customHeight="1" x14ac:dyDescent="0.2">
      <c r="A263" s="6"/>
      <c r="B263" s="6"/>
      <c r="C263" s="1748"/>
      <c r="D263" s="1748"/>
      <c r="E263" s="1748"/>
      <c r="F263" s="1748"/>
      <c r="G263" s="1748"/>
      <c r="H263" s="1748"/>
      <c r="I263" s="1748"/>
      <c r="J263" s="1748"/>
      <c r="K263" s="1748"/>
      <c r="L263" s="1748"/>
      <c r="M263" s="1748"/>
      <c r="N263" s="1748"/>
      <c r="O263" s="1748"/>
      <c r="P263" s="6"/>
      <c r="Q263" s="6"/>
      <c r="R263" s="6"/>
      <c r="S263" s="6"/>
    </row>
    <row r="264" spans="1:19" s="55" customFormat="1" ht="15" customHeight="1" x14ac:dyDescent="0.2">
      <c r="A264" s="6"/>
      <c r="B264" s="6"/>
      <c r="C264" s="1748"/>
      <c r="D264" s="1748"/>
      <c r="E264" s="1748"/>
      <c r="F264" s="1748"/>
      <c r="G264" s="1748"/>
      <c r="H264" s="1748"/>
      <c r="I264" s="1748"/>
      <c r="J264" s="1748"/>
      <c r="K264" s="1748"/>
      <c r="L264" s="1748"/>
      <c r="M264" s="1748"/>
      <c r="N264" s="1748"/>
      <c r="O264" s="1748"/>
      <c r="P264" s="6"/>
      <c r="Q264" s="6"/>
      <c r="R264" s="6"/>
      <c r="S264" s="6"/>
    </row>
    <row r="265" spans="1:19" s="55" customFormat="1" ht="15" customHeight="1" x14ac:dyDescent="0.2">
      <c r="A265" s="6"/>
      <c r="B265" s="6"/>
      <c r="C265" s="1748"/>
      <c r="D265" s="1748"/>
      <c r="E265" s="1748"/>
      <c r="F265" s="1748"/>
      <c r="G265" s="1748"/>
      <c r="H265" s="1748"/>
      <c r="I265" s="1748"/>
      <c r="J265" s="1748"/>
      <c r="K265" s="1748"/>
      <c r="L265" s="1748"/>
      <c r="M265" s="1748"/>
      <c r="N265" s="1748"/>
      <c r="O265" s="1748"/>
      <c r="P265" s="6"/>
      <c r="Q265" s="6"/>
      <c r="R265" s="6"/>
      <c r="S265" s="6"/>
    </row>
    <row r="266" spans="1:19" s="55" customFormat="1" ht="15" customHeight="1" x14ac:dyDescent="0.2">
      <c r="A266" s="6"/>
      <c r="B266" s="6"/>
      <c r="C266" s="1748"/>
      <c r="D266" s="1748"/>
      <c r="E266" s="1748"/>
      <c r="F266" s="1748"/>
      <c r="G266" s="1748"/>
      <c r="H266" s="1748"/>
      <c r="I266" s="1748"/>
      <c r="J266" s="1748"/>
      <c r="K266" s="1748"/>
      <c r="L266" s="1748"/>
      <c r="M266" s="1748"/>
      <c r="N266" s="1748"/>
      <c r="O266" s="1748"/>
      <c r="P266" s="6"/>
      <c r="Q266" s="6"/>
      <c r="R266" s="6"/>
      <c r="S266" s="6"/>
    </row>
    <row r="267" spans="1:19" s="55" customFormat="1" ht="15" customHeight="1" x14ac:dyDescent="0.2">
      <c r="A267" s="6"/>
      <c r="B267" s="6"/>
      <c r="C267" s="1748"/>
      <c r="D267" s="1748"/>
      <c r="E267" s="1748"/>
      <c r="F267" s="1748"/>
      <c r="G267" s="1748"/>
      <c r="H267" s="1748"/>
      <c r="I267" s="1748"/>
      <c r="J267" s="1748"/>
      <c r="K267" s="1748"/>
      <c r="L267" s="1748"/>
      <c r="M267" s="1748"/>
      <c r="N267" s="1748"/>
      <c r="O267" s="1748"/>
      <c r="P267" s="6"/>
      <c r="Q267" s="6"/>
      <c r="R267" s="6"/>
      <c r="S267" s="6"/>
    </row>
    <row r="268" spans="1:19" s="55" customFormat="1" ht="15" customHeight="1" x14ac:dyDescent="0.2">
      <c r="A268" s="6"/>
      <c r="B268" s="6"/>
      <c r="C268" s="1748"/>
      <c r="D268" s="1748"/>
      <c r="E268" s="1748"/>
      <c r="F268" s="1748"/>
      <c r="G268" s="1748"/>
      <c r="H268" s="1748"/>
      <c r="I268" s="1748"/>
      <c r="J268" s="1748"/>
      <c r="K268" s="1748"/>
      <c r="L268" s="1748"/>
      <c r="M268" s="1748"/>
      <c r="N268" s="1748"/>
      <c r="O268" s="1748"/>
      <c r="P268" s="6"/>
      <c r="Q268" s="6"/>
      <c r="R268" s="6"/>
      <c r="S268" s="6"/>
    </row>
    <row r="269" spans="1:19" s="55" customFormat="1" ht="15" customHeight="1" x14ac:dyDescent="0.2">
      <c r="A269" s="6"/>
      <c r="B269" s="6"/>
      <c r="C269" s="1748"/>
      <c r="D269" s="1748"/>
      <c r="E269" s="1748"/>
      <c r="F269" s="1748"/>
      <c r="G269" s="1748"/>
      <c r="H269" s="1748"/>
      <c r="I269" s="1748"/>
      <c r="J269" s="1748"/>
      <c r="K269" s="1748"/>
      <c r="L269" s="1748"/>
      <c r="M269" s="1748"/>
      <c r="N269" s="1748"/>
      <c r="O269" s="1748"/>
      <c r="P269" s="6"/>
      <c r="Q269" s="6"/>
      <c r="R269" s="6"/>
      <c r="S269" s="6"/>
    </row>
    <row r="270" spans="1:19" s="55" customFormat="1" ht="15" customHeight="1" x14ac:dyDescent="0.2">
      <c r="A270" s="6"/>
      <c r="B270" s="6"/>
      <c r="C270" s="1748"/>
      <c r="D270" s="1748"/>
      <c r="E270" s="1748"/>
      <c r="F270" s="1748"/>
      <c r="G270" s="1748"/>
      <c r="H270" s="1748"/>
      <c r="I270" s="1748"/>
      <c r="J270" s="1748"/>
      <c r="K270" s="1748"/>
      <c r="L270" s="1748"/>
      <c r="M270" s="1748"/>
      <c r="N270" s="1748"/>
      <c r="O270" s="1748"/>
      <c r="P270" s="6"/>
      <c r="Q270" s="6"/>
      <c r="R270" s="6"/>
      <c r="S270" s="6"/>
    </row>
    <row r="271" spans="1:19" s="55" customFormat="1" ht="15" customHeight="1" x14ac:dyDescent="0.2">
      <c r="A271" s="6"/>
      <c r="B271" s="6"/>
      <c r="C271" s="1748"/>
      <c r="D271" s="1748"/>
      <c r="E271" s="1748"/>
      <c r="F271" s="1748"/>
      <c r="G271" s="1748"/>
      <c r="H271" s="1748"/>
      <c r="I271" s="1748"/>
      <c r="J271" s="1748"/>
      <c r="K271" s="1748"/>
      <c r="L271" s="1748"/>
      <c r="M271" s="1748"/>
      <c r="N271" s="1748"/>
      <c r="O271" s="1748"/>
      <c r="P271" s="6"/>
      <c r="Q271" s="6"/>
      <c r="R271" s="6"/>
      <c r="S271" s="6"/>
    </row>
    <row r="272" spans="1:19" s="55" customFormat="1" ht="15" customHeight="1" x14ac:dyDescent="0.2">
      <c r="A272" s="6"/>
      <c r="B272" s="6"/>
      <c r="C272" s="1748"/>
      <c r="D272" s="1748"/>
      <c r="E272" s="1748"/>
      <c r="F272" s="1748"/>
      <c r="G272" s="1748"/>
      <c r="H272" s="1748"/>
      <c r="I272" s="1748"/>
      <c r="J272" s="1748"/>
      <c r="K272" s="1748"/>
      <c r="L272" s="1748"/>
      <c r="M272" s="1748"/>
      <c r="N272" s="1748"/>
      <c r="O272" s="1748"/>
      <c r="P272" s="6"/>
      <c r="Q272" s="6"/>
      <c r="R272" s="6"/>
      <c r="S272" s="6"/>
    </row>
    <row r="273" spans="1:19" s="55" customFormat="1" ht="15" customHeight="1" x14ac:dyDescent="0.2">
      <c r="A273" s="6"/>
      <c r="B273" s="6"/>
      <c r="C273" s="1748"/>
      <c r="D273" s="1748"/>
      <c r="E273" s="1748"/>
      <c r="F273" s="1748"/>
      <c r="G273" s="1748"/>
      <c r="H273" s="1748"/>
      <c r="I273" s="1748"/>
      <c r="J273" s="1748"/>
      <c r="K273" s="1748"/>
      <c r="L273" s="1748"/>
      <c r="M273" s="1748"/>
      <c r="N273" s="1748"/>
      <c r="O273" s="1748"/>
      <c r="P273" s="6"/>
      <c r="Q273" s="6"/>
      <c r="R273" s="6"/>
      <c r="S273" s="6"/>
    </row>
    <row r="274" spans="1:19" s="55" customFormat="1" ht="15" customHeight="1" x14ac:dyDescent="0.2">
      <c r="A274" s="6"/>
      <c r="B274" s="6"/>
      <c r="C274" s="1748"/>
      <c r="D274" s="1748"/>
      <c r="E274" s="1748"/>
      <c r="F274" s="1748"/>
      <c r="G274" s="1748"/>
      <c r="H274" s="1748"/>
      <c r="I274" s="1748"/>
      <c r="J274" s="1748"/>
      <c r="K274" s="1748"/>
      <c r="L274" s="1748"/>
      <c r="M274" s="1748"/>
      <c r="N274" s="1748"/>
      <c r="O274" s="1748"/>
      <c r="P274" s="6"/>
      <c r="Q274" s="6"/>
      <c r="R274" s="6"/>
      <c r="S274" s="6"/>
    </row>
    <row r="275" spans="1:19" s="55" customFormat="1" ht="15" customHeight="1" x14ac:dyDescent="0.2">
      <c r="A275" s="6"/>
      <c r="B275" s="6"/>
      <c r="C275" s="1748"/>
      <c r="D275" s="1748"/>
      <c r="E275" s="1748"/>
      <c r="F275" s="1748"/>
      <c r="G275" s="1748"/>
      <c r="H275" s="1748"/>
      <c r="I275" s="1748"/>
      <c r="J275" s="1748"/>
      <c r="K275" s="1748"/>
      <c r="L275" s="1748"/>
      <c r="M275" s="1748"/>
      <c r="N275" s="1748"/>
      <c r="O275" s="1748"/>
      <c r="P275" s="6"/>
      <c r="Q275" s="6"/>
      <c r="R275" s="6"/>
      <c r="S275" s="6"/>
    </row>
    <row r="276" spans="1:19" x14ac:dyDescent="0.2">
      <c r="A276" s="1749"/>
      <c r="B276" s="1749"/>
      <c r="C276" s="1748"/>
      <c r="D276" s="1748"/>
      <c r="E276" s="1748"/>
      <c r="F276" s="1748"/>
      <c r="G276" s="1748"/>
      <c r="H276" s="1748"/>
      <c r="I276" s="1748"/>
      <c r="J276" s="1748"/>
      <c r="K276" s="1748"/>
      <c r="L276" s="1748"/>
      <c r="M276" s="1748"/>
      <c r="N276" s="1748"/>
      <c r="O276" s="1748"/>
      <c r="P276" s="6"/>
      <c r="Q276" s="6"/>
      <c r="R276" s="6"/>
      <c r="S276" s="6"/>
    </row>
    <row r="277" spans="1:19" x14ac:dyDescent="0.2">
      <c r="A277" s="1749"/>
      <c r="B277" s="1749"/>
      <c r="C277" s="1748"/>
      <c r="D277" s="1748"/>
      <c r="E277" s="1748"/>
      <c r="F277" s="1748"/>
      <c r="G277" s="1748"/>
      <c r="H277" s="1748"/>
      <c r="I277" s="1748"/>
      <c r="J277" s="1748"/>
      <c r="K277" s="1748"/>
      <c r="L277" s="1748"/>
      <c r="M277" s="1748"/>
      <c r="N277" s="1748"/>
      <c r="O277" s="1748"/>
      <c r="P277" s="6"/>
      <c r="Q277" s="6"/>
      <c r="R277" s="6"/>
      <c r="S277" s="6"/>
    </row>
    <row r="278" spans="1:19" x14ac:dyDescent="0.2">
      <c r="A278" s="1749"/>
      <c r="B278" s="1749"/>
      <c r="C278" s="1748"/>
      <c r="D278" s="1748"/>
      <c r="E278" s="1748"/>
      <c r="F278" s="1748"/>
      <c r="G278" s="1748"/>
      <c r="H278" s="1748"/>
      <c r="I278" s="1748"/>
      <c r="J278" s="1748"/>
      <c r="K278" s="1748"/>
      <c r="L278" s="1748"/>
      <c r="M278" s="1748"/>
      <c r="N278" s="1748"/>
      <c r="O278" s="1748"/>
      <c r="P278" s="6"/>
      <c r="Q278" s="6"/>
      <c r="R278" s="6"/>
      <c r="S278" s="6"/>
    </row>
    <row r="279" spans="1:19" x14ac:dyDescent="0.2">
      <c r="A279" s="1749"/>
      <c r="B279" s="1749"/>
      <c r="C279" s="1748"/>
      <c r="D279" s="1748"/>
      <c r="E279" s="1748"/>
      <c r="F279" s="1748"/>
      <c r="G279" s="1748"/>
      <c r="H279" s="1748"/>
      <c r="I279" s="1748"/>
      <c r="J279" s="1748"/>
      <c r="K279" s="1748"/>
      <c r="L279" s="1748"/>
      <c r="M279" s="1748"/>
      <c r="N279" s="1748"/>
      <c r="O279" s="1748"/>
      <c r="P279" s="6"/>
      <c r="Q279" s="6"/>
      <c r="R279" s="6"/>
      <c r="S279" s="6"/>
    </row>
    <row r="280" spans="1:19" x14ac:dyDescent="0.2">
      <c r="A280" s="1749"/>
      <c r="B280" s="1749"/>
      <c r="C280" s="1748"/>
      <c r="D280" s="1748"/>
      <c r="E280" s="1748"/>
      <c r="F280" s="1748"/>
      <c r="G280" s="1748"/>
      <c r="H280" s="1748"/>
      <c r="I280" s="1748"/>
      <c r="J280" s="1748"/>
      <c r="K280" s="1748"/>
      <c r="L280" s="1748"/>
      <c r="M280" s="1748"/>
      <c r="N280" s="1748"/>
      <c r="O280" s="1748"/>
      <c r="P280" s="6"/>
      <c r="Q280" s="6"/>
      <c r="R280" s="6"/>
      <c r="S280" s="6"/>
    </row>
    <row r="281" spans="1:19" x14ac:dyDescent="0.2">
      <c r="A281" s="1749"/>
      <c r="B281" s="1749"/>
      <c r="C281" s="1748"/>
      <c r="D281" s="1748"/>
      <c r="E281" s="1748"/>
      <c r="F281" s="1748"/>
      <c r="G281" s="1748"/>
      <c r="H281" s="1748"/>
      <c r="I281" s="1748"/>
      <c r="J281" s="1748"/>
      <c r="K281" s="1748"/>
      <c r="L281" s="1748"/>
      <c r="M281" s="1748"/>
      <c r="N281" s="1748"/>
      <c r="O281" s="1748"/>
      <c r="P281" s="6"/>
      <c r="Q281" s="6"/>
      <c r="R281" s="6"/>
      <c r="S281" s="6"/>
    </row>
    <row r="282" spans="1:19" x14ac:dyDescent="0.2">
      <c r="A282" s="1749"/>
      <c r="B282" s="1749"/>
      <c r="C282" s="1748"/>
      <c r="D282" s="1748"/>
      <c r="E282" s="1748"/>
      <c r="F282" s="1748"/>
      <c r="G282" s="1748"/>
      <c r="H282" s="1748"/>
      <c r="I282" s="1748"/>
      <c r="J282" s="1748"/>
      <c r="K282" s="1748"/>
      <c r="L282" s="1748"/>
      <c r="M282" s="1748"/>
      <c r="N282" s="1748"/>
      <c r="O282" s="1748"/>
      <c r="P282" s="6"/>
      <c r="Q282" s="6"/>
      <c r="R282" s="6"/>
      <c r="S282" s="6"/>
    </row>
    <row r="283" spans="1:19" x14ac:dyDescent="0.2">
      <c r="A283" s="1749"/>
      <c r="B283" s="1749"/>
      <c r="C283" s="1748"/>
      <c r="D283" s="1748"/>
      <c r="E283" s="1748"/>
      <c r="F283" s="1748"/>
      <c r="G283" s="1748"/>
      <c r="H283" s="1748"/>
      <c r="I283" s="1748"/>
      <c r="J283" s="1748"/>
      <c r="K283" s="1748"/>
      <c r="L283" s="1748"/>
      <c r="M283" s="1748"/>
      <c r="N283" s="1748"/>
      <c r="O283" s="1748"/>
      <c r="P283" s="6"/>
      <c r="Q283" s="6"/>
      <c r="R283" s="6"/>
      <c r="S283" s="6"/>
    </row>
    <row r="284" spans="1:19" x14ac:dyDescent="0.2">
      <c r="A284" s="1749"/>
      <c r="B284" s="1749"/>
      <c r="C284" s="1748"/>
      <c r="D284" s="1748"/>
      <c r="E284" s="1748"/>
      <c r="F284" s="1748"/>
      <c r="G284" s="1748"/>
      <c r="H284" s="1748"/>
      <c r="I284" s="1748"/>
      <c r="J284" s="1748"/>
      <c r="K284" s="1748"/>
      <c r="L284" s="1748"/>
      <c r="M284" s="1748"/>
      <c r="N284" s="1748"/>
      <c r="O284" s="1748"/>
      <c r="P284" s="6"/>
      <c r="Q284" s="6"/>
      <c r="R284" s="6"/>
      <c r="S284" s="6"/>
    </row>
    <row r="285" spans="1:19" x14ac:dyDescent="0.2">
      <c r="A285" s="1749"/>
      <c r="B285" s="1749"/>
      <c r="C285" s="1748"/>
      <c r="D285" s="1748"/>
      <c r="E285" s="1748"/>
      <c r="F285" s="1748"/>
      <c r="G285" s="1748"/>
      <c r="H285" s="1748"/>
      <c r="I285" s="1748"/>
      <c r="J285" s="1748"/>
      <c r="K285" s="1748"/>
      <c r="L285" s="1748"/>
      <c r="M285" s="1748"/>
      <c r="N285" s="1748"/>
      <c r="O285" s="1748"/>
      <c r="P285" s="6"/>
      <c r="Q285" s="6"/>
      <c r="R285" s="6"/>
      <c r="S285" s="6"/>
    </row>
    <row r="286" spans="1:19" x14ac:dyDescent="0.2">
      <c r="A286" s="1749"/>
      <c r="B286" s="1749"/>
      <c r="C286" s="1748"/>
      <c r="D286" s="1748"/>
      <c r="E286" s="1748"/>
      <c r="F286" s="1748"/>
      <c r="G286" s="1748"/>
      <c r="H286" s="1748"/>
      <c r="I286" s="1748"/>
      <c r="J286" s="1748"/>
      <c r="K286" s="1748"/>
      <c r="L286" s="1748"/>
      <c r="M286" s="1748"/>
      <c r="N286" s="1748"/>
      <c r="O286" s="1748"/>
      <c r="P286" s="6"/>
      <c r="Q286" s="6"/>
      <c r="R286" s="6"/>
      <c r="S286" s="6"/>
    </row>
    <row r="287" spans="1:19" x14ac:dyDescent="0.2">
      <c r="A287" s="1749"/>
      <c r="B287" s="1749"/>
      <c r="C287" s="1748"/>
      <c r="D287" s="1748"/>
      <c r="E287" s="1748"/>
      <c r="F287" s="1748"/>
      <c r="G287" s="1748"/>
      <c r="H287" s="1748"/>
      <c r="I287" s="1748"/>
      <c r="J287" s="1748"/>
      <c r="K287" s="1748"/>
      <c r="L287" s="1748"/>
      <c r="M287" s="1748"/>
      <c r="N287" s="1748"/>
      <c r="O287" s="1748"/>
      <c r="P287" s="6"/>
      <c r="Q287" s="6"/>
      <c r="R287" s="6"/>
      <c r="S287" s="6"/>
    </row>
    <row r="288" spans="1:19" x14ac:dyDescent="0.2">
      <c r="A288" s="1749"/>
      <c r="B288" s="1749"/>
      <c r="C288" s="1748"/>
      <c r="D288" s="1748"/>
      <c r="E288" s="1748"/>
      <c r="F288" s="1748"/>
      <c r="G288" s="1748"/>
      <c r="H288" s="1748"/>
      <c r="I288" s="1748"/>
      <c r="J288" s="1748"/>
      <c r="K288" s="1748"/>
      <c r="L288" s="1748"/>
      <c r="M288" s="1748"/>
      <c r="N288" s="1748"/>
      <c r="O288" s="1748"/>
      <c r="P288" s="6"/>
      <c r="Q288" s="6"/>
      <c r="R288" s="6"/>
      <c r="S288" s="6"/>
    </row>
    <row r="289" spans="1:19" x14ac:dyDescent="0.2">
      <c r="A289" s="1749"/>
      <c r="B289" s="1749"/>
      <c r="C289" s="1748"/>
      <c r="D289" s="1748"/>
      <c r="E289" s="1748"/>
      <c r="F289" s="1748"/>
      <c r="G289" s="1748"/>
      <c r="H289" s="1748"/>
      <c r="I289" s="1748"/>
      <c r="J289" s="1748"/>
      <c r="K289" s="1748"/>
      <c r="L289" s="1748"/>
      <c r="M289" s="1748"/>
      <c r="N289" s="1748"/>
      <c r="O289" s="1748"/>
      <c r="P289" s="6"/>
      <c r="Q289" s="6"/>
      <c r="R289" s="6"/>
      <c r="S289" s="6"/>
    </row>
    <row r="290" spans="1:19" x14ac:dyDescent="0.2">
      <c r="A290" s="1749"/>
      <c r="B290" s="1749"/>
      <c r="C290" s="1748"/>
      <c r="D290" s="1748"/>
      <c r="E290" s="1748"/>
      <c r="F290" s="1748"/>
      <c r="G290" s="1748"/>
      <c r="H290" s="1748"/>
      <c r="I290" s="1748"/>
      <c r="J290" s="1748"/>
      <c r="K290" s="1748"/>
      <c r="L290" s="1748"/>
      <c r="M290" s="1748"/>
      <c r="N290" s="1748"/>
      <c r="O290" s="1748"/>
      <c r="P290" s="6"/>
      <c r="Q290" s="6"/>
      <c r="R290" s="6"/>
      <c r="S290" s="6"/>
    </row>
    <row r="291" spans="1:19" x14ac:dyDescent="0.2">
      <c r="A291" s="1749"/>
      <c r="B291" s="1749"/>
      <c r="C291" s="1748"/>
      <c r="D291" s="1748"/>
      <c r="E291" s="1748"/>
      <c r="F291" s="1748"/>
      <c r="G291" s="1748"/>
      <c r="H291" s="1748"/>
      <c r="I291" s="1748"/>
      <c r="J291" s="1748"/>
      <c r="K291" s="1748"/>
      <c r="L291" s="1748"/>
      <c r="M291" s="1748"/>
      <c r="N291" s="1748"/>
      <c r="O291" s="1748"/>
      <c r="P291" s="6"/>
      <c r="Q291" s="6"/>
      <c r="R291" s="6"/>
      <c r="S291" s="6"/>
    </row>
    <row r="292" spans="1:19" x14ac:dyDescent="0.2">
      <c r="A292" s="1749"/>
      <c r="B292" s="1749"/>
      <c r="C292" s="1748"/>
      <c r="D292" s="1748"/>
      <c r="E292" s="1748"/>
      <c r="F292" s="1748"/>
      <c r="G292" s="1748"/>
      <c r="H292" s="1748"/>
      <c r="I292" s="1748"/>
      <c r="J292" s="1748"/>
      <c r="K292" s="1748"/>
      <c r="L292" s="1748"/>
      <c r="M292" s="1748"/>
      <c r="N292" s="1748"/>
      <c r="O292" s="1748"/>
      <c r="P292" s="6"/>
      <c r="Q292" s="6"/>
      <c r="R292" s="6"/>
      <c r="S292" s="6"/>
    </row>
    <row r="293" spans="1:19" x14ac:dyDescent="0.2">
      <c r="A293" s="1749"/>
      <c r="B293" s="1749"/>
      <c r="C293" s="1748"/>
      <c r="D293" s="1748"/>
      <c r="E293" s="1748"/>
      <c r="F293" s="1748"/>
      <c r="G293" s="1748"/>
      <c r="H293" s="1748"/>
      <c r="I293" s="1748"/>
      <c r="J293" s="1748"/>
      <c r="K293" s="1748"/>
      <c r="L293" s="1748"/>
      <c r="M293" s="1748"/>
      <c r="N293" s="1748"/>
      <c r="O293" s="1748"/>
      <c r="P293" s="6"/>
      <c r="Q293" s="6"/>
      <c r="R293" s="6"/>
      <c r="S293" s="6"/>
    </row>
    <row r="294" spans="1:19" x14ac:dyDescent="0.2">
      <c r="A294" s="1749"/>
      <c r="B294" s="1749"/>
      <c r="C294" s="1748"/>
      <c r="D294" s="1748"/>
      <c r="E294" s="1748"/>
      <c r="F294" s="1748"/>
      <c r="G294" s="1748"/>
      <c r="H294" s="1748"/>
      <c r="I294" s="1748"/>
      <c r="J294" s="1748"/>
      <c r="K294" s="1748"/>
      <c r="L294" s="1748"/>
      <c r="M294" s="1748"/>
      <c r="N294" s="1748"/>
      <c r="O294" s="1748"/>
      <c r="P294" s="6"/>
      <c r="Q294" s="6"/>
      <c r="R294" s="6"/>
      <c r="S294" s="6"/>
    </row>
    <row r="295" spans="1:19" x14ac:dyDescent="0.2">
      <c r="A295" s="1749"/>
      <c r="B295" s="1749"/>
      <c r="C295" s="1748"/>
      <c r="D295" s="1748"/>
      <c r="E295" s="1748"/>
      <c r="F295" s="1748"/>
      <c r="G295" s="1748"/>
      <c r="H295" s="1748"/>
      <c r="I295" s="1748"/>
      <c r="J295" s="1748"/>
      <c r="K295" s="1748"/>
      <c r="L295" s="1748"/>
      <c r="M295" s="1748"/>
      <c r="N295" s="1748"/>
      <c r="O295" s="1748"/>
      <c r="P295" s="6"/>
      <c r="Q295" s="6"/>
      <c r="R295" s="6"/>
      <c r="S295" s="6"/>
    </row>
    <row r="296" spans="1:19" x14ac:dyDescent="0.2">
      <c r="A296" s="1749"/>
      <c r="B296" s="1749"/>
      <c r="C296" s="1748"/>
      <c r="D296" s="1748"/>
      <c r="E296" s="1748"/>
      <c r="F296" s="1748"/>
      <c r="G296" s="1748"/>
      <c r="H296" s="1748"/>
      <c r="I296" s="1748"/>
      <c r="J296" s="1748"/>
      <c r="K296" s="1748"/>
      <c r="L296" s="1748"/>
      <c r="M296" s="1748"/>
      <c r="N296" s="1748"/>
      <c r="O296" s="1748"/>
      <c r="P296" s="6"/>
      <c r="Q296" s="6"/>
      <c r="R296" s="6"/>
      <c r="S296" s="6"/>
    </row>
    <row r="297" spans="1:19" x14ac:dyDescent="0.2">
      <c r="A297" s="1749"/>
      <c r="B297" s="1749"/>
      <c r="C297" s="1748"/>
      <c r="D297" s="1748"/>
      <c r="E297" s="1748"/>
      <c r="F297" s="1748"/>
      <c r="G297" s="1748"/>
      <c r="H297" s="1748"/>
      <c r="I297" s="1748"/>
      <c r="J297" s="1748"/>
      <c r="K297" s="1748"/>
      <c r="L297" s="1748"/>
      <c r="M297" s="1748"/>
      <c r="N297" s="1748"/>
      <c r="O297" s="1748"/>
      <c r="P297" s="6"/>
      <c r="Q297" s="6"/>
      <c r="R297" s="6"/>
      <c r="S297" s="6"/>
    </row>
    <row r="298" spans="1:19" x14ac:dyDescent="0.2">
      <c r="A298" s="1749"/>
      <c r="B298" s="1749"/>
      <c r="C298" s="1748"/>
      <c r="D298" s="1748"/>
      <c r="E298" s="1748"/>
      <c r="F298" s="1748"/>
      <c r="G298" s="1748"/>
      <c r="H298" s="1748"/>
      <c r="I298" s="1748"/>
      <c r="J298" s="1748"/>
      <c r="K298" s="1748"/>
      <c r="L298" s="1748"/>
      <c r="M298" s="1748"/>
      <c r="N298" s="1748"/>
      <c r="O298" s="1748"/>
      <c r="P298" s="6"/>
      <c r="Q298" s="6"/>
      <c r="R298" s="6"/>
      <c r="S298" s="6"/>
    </row>
    <row r="299" spans="1:19" x14ac:dyDescent="0.2">
      <c r="A299" s="1749"/>
      <c r="B299" s="1749"/>
      <c r="C299" s="1748"/>
      <c r="D299" s="1748"/>
      <c r="E299" s="1748"/>
      <c r="F299" s="1748"/>
      <c r="G299" s="1748"/>
      <c r="H299" s="1748"/>
      <c r="I299" s="1748"/>
      <c r="J299" s="1748"/>
      <c r="K299" s="1748"/>
      <c r="L299" s="1748"/>
      <c r="M299" s="1748"/>
      <c r="N299" s="1748"/>
      <c r="O299" s="1748"/>
      <c r="P299" s="6"/>
      <c r="Q299" s="6"/>
      <c r="R299" s="6"/>
      <c r="S299" s="6"/>
    </row>
    <row r="300" spans="1:19" x14ac:dyDescent="0.2">
      <c r="A300" s="1749"/>
      <c r="B300" s="1749"/>
      <c r="C300" s="1748"/>
      <c r="D300" s="1748"/>
      <c r="E300" s="1748"/>
      <c r="F300" s="1748"/>
      <c r="G300" s="1748"/>
      <c r="H300" s="1748"/>
      <c r="I300" s="1748"/>
      <c r="J300" s="1748"/>
      <c r="K300" s="1748"/>
      <c r="L300" s="1748"/>
      <c r="M300" s="1748"/>
      <c r="N300" s="1748"/>
      <c r="O300" s="1748"/>
      <c r="P300" s="6"/>
      <c r="Q300" s="6"/>
      <c r="R300" s="6"/>
      <c r="S300" s="6"/>
    </row>
    <row r="301" spans="1:19" x14ac:dyDescent="0.2">
      <c r="A301" s="1749"/>
      <c r="B301" s="1749"/>
      <c r="C301" s="1748"/>
      <c r="D301" s="1748"/>
      <c r="E301" s="1748"/>
      <c r="F301" s="1748"/>
      <c r="G301" s="1748"/>
      <c r="H301" s="1748"/>
      <c r="I301" s="1748"/>
      <c r="J301" s="1748"/>
      <c r="K301" s="1748"/>
      <c r="L301" s="1748"/>
      <c r="M301" s="1748"/>
      <c r="N301" s="1748"/>
      <c r="O301" s="1748"/>
      <c r="P301" s="6"/>
      <c r="Q301" s="6"/>
      <c r="R301" s="6"/>
      <c r="S301" s="6"/>
    </row>
    <row r="302" spans="1:19" x14ac:dyDescent="0.2">
      <c r="A302" s="1749"/>
      <c r="B302" s="1749"/>
      <c r="C302" s="1748"/>
      <c r="D302" s="1748"/>
      <c r="E302" s="1748"/>
      <c r="F302" s="1748"/>
      <c r="G302" s="1748"/>
      <c r="H302" s="1748"/>
      <c r="I302" s="1748"/>
      <c r="J302" s="1748"/>
      <c r="K302" s="1748"/>
      <c r="L302" s="1748"/>
      <c r="M302" s="1748"/>
      <c r="N302" s="1748"/>
      <c r="O302" s="1748"/>
      <c r="P302" s="6"/>
      <c r="Q302" s="6"/>
      <c r="R302" s="6"/>
      <c r="S302" s="6"/>
    </row>
    <row r="303" spans="1:19" x14ac:dyDescent="0.2">
      <c r="A303" s="1749"/>
      <c r="B303" s="1749"/>
      <c r="C303" s="1748"/>
      <c r="D303" s="1748"/>
      <c r="E303" s="1748"/>
      <c r="F303" s="1748"/>
      <c r="G303" s="1748"/>
      <c r="H303" s="1748"/>
      <c r="I303" s="1748"/>
      <c r="J303" s="1748"/>
      <c r="K303" s="1748"/>
      <c r="L303" s="1748"/>
      <c r="M303" s="1748"/>
      <c r="N303" s="1748"/>
      <c r="O303" s="1748"/>
      <c r="P303" s="6"/>
      <c r="Q303" s="6"/>
      <c r="R303" s="6"/>
      <c r="S303" s="6"/>
    </row>
    <row r="304" spans="1:19" x14ac:dyDescent="0.2">
      <c r="A304" s="1749"/>
      <c r="B304" s="1749"/>
      <c r="C304" s="1748"/>
      <c r="D304" s="1748"/>
      <c r="E304" s="1748"/>
      <c r="F304" s="1748"/>
      <c r="G304" s="1748"/>
      <c r="H304" s="1748"/>
      <c r="I304" s="1748"/>
      <c r="J304" s="1748"/>
      <c r="K304" s="1748"/>
      <c r="L304" s="1748"/>
      <c r="M304" s="1748"/>
      <c r="N304" s="1748"/>
      <c r="O304" s="1748"/>
      <c r="P304" s="6"/>
      <c r="Q304" s="6"/>
      <c r="R304" s="6"/>
      <c r="S304" s="6"/>
    </row>
    <row r="305" spans="1:19" x14ac:dyDescent="0.2">
      <c r="A305" s="1749"/>
      <c r="B305" s="1749"/>
      <c r="C305" s="1748"/>
      <c r="D305" s="1748"/>
      <c r="E305" s="1748"/>
      <c r="F305" s="1748"/>
      <c r="G305" s="1748"/>
      <c r="H305" s="1748"/>
      <c r="I305" s="1748"/>
      <c r="J305" s="1748"/>
      <c r="K305" s="1748"/>
      <c r="L305" s="1748"/>
      <c r="M305" s="1748"/>
      <c r="N305" s="1748"/>
      <c r="O305" s="1748"/>
      <c r="P305" s="6"/>
      <c r="Q305" s="6"/>
      <c r="R305" s="6"/>
      <c r="S305" s="6"/>
    </row>
    <row r="306" spans="1:19" x14ac:dyDescent="0.2">
      <c r="A306" s="1749"/>
      <c r="B306" s="1749"/>
      <c r="C306" s="1748"/>
      <c r="D306" s="1748"/>
      <c r="E306" s="1748"/>
      <c r="F306" s="1748"/>
      <c r="G306" s="1748"/>
      <c r="H306" s="1748"/>
      <c r="I306" s="1748"/>
      <c r="J306" s="1748"/>
      <c r="K306" s="1748"/>
      <c r="L306" s="1748"/>
      <c r="M306" s="1748"/>
      <c r="N306" s="1748"/>
      <c r="O306" s="1748"/>
      <c r="P306" s="6"/>
      <c r="Q306" s="6"/>
      <c r="R306" s="6"/>
      <c r="S306" s="6"/>
    </row>
    <row r="307" spans="1:19" x14ac:dyDescent="0.2">
      <c r="A307" s="1749"/>
      <c r="B307" s="1749"/>
      <c r="C307" s="1748"/>
      <c r="D307" s="1748"/>
      <c r="E307" s="1748"/>
      <c r="F307" s="1748"/>
      <c r="G307" s="1748"/>
      <c r="H307" s="1748"/>
      <c r="I307" s="1748"/>
      <c r="J307" s="1748"/>
      <c r="K307" s="1748"/>
      <c r="L307" s="1748"/>
      <c r="M307" s="1748"/>
      <c r="N307" s="1748"/>
      <c r="O307" s="1748"/>
      <c r="P307" s="6"/>
      <c r="Q307" s="6"/>
      <c r="R307" s="6"/>
      <c r="S307" s="6"/>
    </row>
    <row r="308" spans="1:19" x14ac:dyDescent="0.2">
      <c r="A308" s="1749"/>
      <c r="B308" s="1749"/>
      <c r="C308" s="1748"/>
      <c r="D308" s="1748"/>
      <c r="E308" s="1748"/>
      <c r="F308" s="1748"/>
      <c r="G308" s="1748"/>
      <c r="H308" s="1748"/>
      <c r="I308" s="1748"/>
      <c r="J308" s="1748"/>
      <c r="K308" s="1748"/>
      <c r="L308" s="1748"/>
      <c r="M308" s="1748"/>
      <c r="N308" s="1748"/>
      <c r="O308" s="1748"/>
      <c r="P308" s="6"/>
      <c r="Q308" s="6"/>
      <c r="R308" s="6"/>
      <c r="S308" s="6"/>
    </row>
    <row r="309" spans="1:19" x14ac:dyDescent="0.2">
      <c r="A309" s="1749"/>
      <c r="B309" s="1749"/>
      <c r="C309" s="1748"/>
      <c r="D309" s="1748"/>
      <c r="E309" s="1748"/>
      <c r="F309" s="1748"/>
      <c r="G309" s="1748"/>
      <c r="H309" s="1748"/>
      <c r="I309" s="1748"/>
      <c r="J309" s="1748"/>
      <c r="K309" s="1748"/>
      <c r="L309" s="1748"/>
      <c r="M309" s="1748"/>
      <c r="N309" s="1748"/>
      <c r="O309" s="1748"/>
      <c r="P309" s="6"/>
      <c r="Q309" s="6"/>
      <c r="R309" s="6"/>
      <c r="S309" s="6"/>
    </row>
    <row r="310" spans="1:19" x14ac:dyDescent="0.2">
      <c r="A310" s="1749"/>
      <c r="B310" s="1749"/>
      <c r="C310" s="1748"/>
      <c r="D310" s="1748"/>
      <c r="E310" s="1748"/>
      <c r="F310" s="1748"/>
      <c r="G310" s="1748"/>
      <c r="H310" s="1748"/>
      <c r="I310" s="1748"/>
      <c r="J310" s="1748"/>
      <c r="K310" s="1748"/>
      <c r="L310" s="1748"/>
      <c r="M310" s="1748"/>
      <c r="N310" s="1748"/>
      <c r="O310" s="1748"/>
      <c r="P310" s="6"/>
      <c r="Q310" s="6"/>
      <c r="R310" s="6"/>
      <c r="S310" s="6"/>
    </row>
    <row r="311" spans="1:19" x14ac:dyDescent="0.2">
      <c r="A311" s="1749"/>
      <c r="B311" s="1749"/>
      <c r="C311" s="1748"/>
      <c r="D311" s="1748"/>
      <c r="E311" s="1748"/>
      <c r="F311" s="1748"/>
      <c r="G311" s="1748"/>
      <c r="H311" s="1748"/>
      <c r="I311" s="1748"/>
      <c r="J311" s="1748"/>
      <c r="K311" s="1748"/>
      <c r="L311" s="1748"/>
      <c r="M311" s="1748"/>
      <c r="N311" s="1748"/>
      <c r="O311" s="1748"/>
      <c r="P311" s="6"/>
      <c r="Q311" s="6"/>
      <c r="R311" s="6"/>
      <c r="S311" s="6"/>
    </row>
    <row r="312" spans="1:19" x14ac:dyDescent="0.2">
      <c r="A312" s="1749"/>
      <c r="B312" s="1749"/>
      <c r="C312" s="1748"/>
      <c r="D312" s="1748"/>
      <c r="E312" s="1748"/>
      <c r="F312" s="1748"/>
      <c r="G312" s="1748"/>
      <c r="H312" s="1748"/>
      <c r="I312" s="1748"/>
      <c r="J312" s="1748"/>
      <c r="K312" s="1748"/>
      <c r="L312" s="1748"/>
      <c r="M312" s="1748"/>
      <c r="N312" s="1748"/>
      <c r="O312" s="1748"/>
      <c r="P312" s="6"/>
      <c r="Q312" s="6"/>
      <c r="R312" s="6"/>
      <c r="S312" s="6"/>
    </row>
    <row r="313" spans="1:19" x14ac:dyDescent="0.2">
      <c r="A313" s="1749"/>
      <c r="B313" s="1749"/>
      <c r="C313" s="1748"/>
      <c r="D313" s="1748"/>
      <c r="E313" s="1748"/>
      <c r="F313" s="1748"/>
      <c r="G313" s="1748"/>
      <c r="H313" s="1748"/>
      <c r="I313" s="1748"/>
      <c r="J313" s="1748"/>
      <c r="K313" s="1748"/>
      <c r="L313" s="1748"/>
      <c r="M313" s="1748"/>
      <c r="N313" s="1748"/>
      <c r="O313" s="1748"/>
      <c r="P313" s="6"/>
      <c r="Q313" s="6"/>
      <c r="R313" s="6"/>
      <c r="S313" s="6"/>
    </row>
    <row r="314" spans="1:19" x14ac:dyDescent="0.2">
      <c r="A314" s="1749"/>
      <c r="B314" s="1749"/>
      <c r="C314" s="1748"/>
      <c r="D314" s="1748"/>
      <c r="E314" s="1748"/>
      <c r="F314" s="1748"/>
      <c r="G314" s="1748"/>
      <c r="H314" s="1748"/>
      <c r="I314" s="1748"/>
      <c r="J314" s="1748"/>
      <c r="K314" s="1748"/>
      <c r="L314" s="1748"/>
      <c r="M314" s="1748"/>
      <c r="N314" s="1748"/>
      <c r="O314" s="1748"/>
      <c r="P314" s="6"/>
      <c r="Q314" s="6"/>
      <c r="R314" s="6"/>
      <c r="S314" s="6"/>
    </row>
    <row r="315" spans="1:19" x14ac:dyDescent="0.2">
      <c r="A315" s="1749"/>
      <c r="B315" s="1749"/>
      <c r="C315" s="1748"/>
      <c r="D315" s="1748"/>
      <c r="E315" s="1748"/>
      <c r="F315" s="1748"/>
      <c r="G315" s="1748"/>
      <c r="H315" s="1748"/>
      <c r="I315" s="1748"/>
      <c r="J315" s="1748"/>
      <c r="K315" s="1748"/>
      <c r="L315" s="1748"/>
      <c r="M315" s="1748"/>
      <c r="N315" s="1748"/>
      <c r="O315" s="1748"/>
      <c r="P315" s="6"/>
      <c r="Q315" s="6"/>
      <c r="R315" s="6"/>
      <c r="S315" s="6"/>
    </row>
    <row r="316" spans="1:19" x14ac:dyDescent="0.2">
      <c r="A316" s="1749"/>
      <c r="B316" s="1749"/>
      <c r="C316" s="1748"/>
      <c r="D316" s="1748"/>
      <c r="E316" s="1748"/>
      <c r="F316" s="1748"/>
      <c r="G316" s="1748"/>
      <c r="H316" s="1748"/>
      <c r="I316" s="1748"/>
      <c r="J316" s="1748"/>
      <c r="K316" s="1748"/>
      <c r="L316" s="1748"/>
      <c r="M316" s="1748"/>
      <c r="N316" s="1748"/>
      <c r="O316" s="1748"/>
      <c r="P316" s="6"/>
      <c r="Q316" s="6"/>
      <c r="R316" s="6"/>
      <c r="S316" s="6"/>
    </row>
    <row r="317" spans="1:19" x14ac:dyDescent="0.2">
      <c r="A317" s="1749"/>
      <c r="B317" s="1749"/>
      <c r="C317" s="1748"/>
      <c r="D317" s="1748"/>
      <c r="E317" s="1748"/>
      <c r="F317" s="1748"/>
      <c r="G317" s="1748"/>
      <c r="H317" s="1748"/>
      <c r="I317" s="1748"/>
      <c r="J317" s="1748"/>
      <c r="K317" s="1748"/>
      <c r="L317" s="1748"/>
      <c r="M317" s="1748"/>
      <c r="N317" s="1748"/>
      <c r="O317" s="1748"/>
      <c r="P317" s="6"/>
      <c r="Q317" s="6"/>
      <c r="R317" s="6"/>
      <c r="S317" s="6"/>
    </row>
    <row r="318" spans="1:19" x14ac:dyDescent="0.2">
      <c r="A318" s="1749"/>
      <c r="B318" s="1749"/>
      <c r="C318" s="1748"/>
      <c r="D318" s="1748"/>
      <c r="E318" s="1748"/>
      <c r="F318" s="1748"/>
      <c r="G318" s="1748"/>
      <c r="H318" s="1748"/>
      <c r="I318" s="1748"/>
      <c r="J318" s="1748"/>
      <c r="K318" s="1748"/>
      <c r="L318" s="1748"/>
      <c r="M318" s="1748"/>
      <c r="N318" s="1748"/>
      <c r="O318" s="1748"/>
      <c r="P318" s="6"/>
      <c r="Q318" s="6"/>
      <c r="R318" s="6"/>
      <c r="S318" s="6"/>
    </row>
    <row r="319" spans="1:19" x14ac:dyDescent="0.2">
      <c r="A319" s="1749"/>
      <c r="B319" s="1749"/>
      <c r="C319" s="1748"/>
      <c r="D319" s="1748"/>
      <c r="E319" s="1748"/>
      <c r="F319" s="1748"/>
      <c r="G319" s="1748"/>
      <c r="H319" s="1748"/>
      <c r="I319" s="1748"/>
      <c r="J319" s="1748"/>
      <c r="K319" s="1748"/>
      <c r="L319" s="1748"/>
      <c r="M319" s="1748"/>
      <c r="N319" s="1748"/>
      <c r="O319" s="1748"/>
      <c r="P319" s="6"/>
      <c r="Q319" s="6"/>
      <c r="R319" s="6"/>
      <c r="S319" s="6"/>
    </row>
    <row r="320" spans="1:19" x14ac:dyDescent="0.2">
      <c r="A320" s="1749"/>
      <c r="B320" s="1749"/>
      <c r="C320" s="1748"/>
      <c r="D320" s="1748"/>
      <c r="E320" s="1748"/>
      <c r="F320" s="1748"/>
      <c r="G320" s="1748"/>
      <c r="H320" s="1748"/>
      <c r="I320" s="1748"/>
      <c r="J320" s="1748"/>
      <c r="K320" s="1748"/>
      <c r="L320" s="1748"/>
      <c r="M320" s="1748"/>
      <c r="N320" s="1748"/>
      <c r="O320" s="1748"/>
      <c r="P320" s="6"/>
      <c r="Q320" s="6"/>
      <c r="R320" s="6"/>
      <c r="S320" s="6"/>
    </row>
    <row r="321" spans="1:19" x14ac:dyDescent="0.2">
      <c r="A321" s="1749"/>
      <c r="B321" s="1749"/>
      <c r="C321" s="1748"/>
      <c r="D321" s="1748"/>
      <c r="E321" s="1748"/>
      <c r="F321" s="1748"/>
      <c r="G321" s="1748"/>
      <c r="H321" s="1748"/>
      <c r="I321" s="1748"/>
      <c r="J321" s="1748"/>
      <c r="K321" s="1748"/>
      <c r="L321" s="1748"/>
      <c r="M321" s="1748"/>
      <c r="N321" s="1748"/>
      <c r="O321" s="1748"/>
      <c r="P321" s="6"/>
      <c r="Q321" s="6"/>
      <c r="R321" s="6"/>
      <c r="S321" s="6"/>
    </row>
    <row r="322" spans="1:19" x14ac:dyDescent="0.2">
      <c r="A322" s="1749"/>
      <c r="B322" s="1749"/>
      <c r="C322" s="1748"/>
      <c r="D322" s="1748"/>
      <c r="E322" s="1748"/>
      <c r="F322" s="1748"/>
      <c r="G322" s="1748"/>
      <c r="H322" s="1748"/>
      <c r="I322" s="1748"/>
      <c r="J322" s="1748"/>
      <c r="K322" s="1748"/>
      <c r="L322" s="1748"/>
      <c r="M322" s="1748"/>
      <c r="N322" s="1748"/>
      <c r="O322" s="1748"/>
      <c r="P322" s="6"/>
      <c r="Q322" s="6"/>
      <c r="R322" s="6"/>
      <c r="S322" s="6"/>
    </row>
    <row r="323" spans="1:19" x14ac:dyDescent="0.2">
      <c r="A323" s="1749"/>
      <c r="B323" s="1749"/>
      <c r="C323" s="1748"/>
      <c r="D323" s="1748"/>
      <c r="E323" s="1748"/>
      <c r="F323" s="1748"/>
      <c r="G323" s="1748"/>
      <c r="H323" s="1748"/>
      <c r="I323" s="1748"/>
      <c r="J323" s="1748"/>
      <c r="K323" s="1748"/>
      <c r="L323" s="1748"/>
      <c r="M323" s="1748"/>
      <c r="N323" s="1748"/>
      <c r="O323" s="1748"/>
      <c r="P323" s="6"/>
      <c r="Q323" s="6"/>
      <c r="R323" s="6"/>
      <c r="S323" s="6"/>
    </row>
    <row r="324" spans="1:19" x14ac:dyDescent="0.2">
      <c r="A324" s="1749"/>
      <c r="B324" s="1749"/>
      <c r="C324" s="1748"/>
      <c r="D324" s="1748"/>
      <c r="E324" s="1748"/>
      <c r="F324" s="1748"/>
      <c r="G324" s="1748"/>
      <c r="H324" s="1748"/>
      <c r="I324" s="1748"/>
      <c r="J324" s="1748"/>
      <c r="K324" s="1748"/>
      <c r="L324" s="1748"/>
      <c r="M324" s="1748"/>
      <c r="N324" s="1748"/>
      <c r="O324" s="1748"/>
      <c r="P324" s="6"/>
      <c r="Q324" s="6"/>
      <c r="R324" s="6"/>
      <c r="S324" s="6"/>
    </row>
    <row r="325" spans="1:19" x14ac:dyDescent="0.2">
      <c r="A325" s="1749"/>
      <c r="B325" s="1749"/>
      <c r="C325" s="1748"/>
      <c r="D325" s="1748"/>
      <c r="E325" s="1748"/>
      <c r="F325" s="1748"/>
      <c r="G325" s="1748"/>
      <c r="H325" s="1748"/>
      <c r="I325" s="1748"/>
      <c r="J325" s="1748"/>
      <c r="K325" s="1748"/>
      <c r="L325" s="1748"/>
      <c r="M325" s="1748"/>
      <c r="N325" s="1748"/>
      <c r="O325" s="1748"/>
      <c r="P325" s="6"/>
      <c r="Q325" s="6"/>
      <c r="R325" s="6"/>
      <c r="S325" s="6"/>
    </row>
    <row r="326" spans="1:19" x14ac:dyDescent="0.2">
      <c r="A326" s="1749"/>
      <c r="B326" s="1749"/>
      <c r="C326" s="1748"/>
      <c r="D326" s="1748"/>
      <c r="E326" s="1748"/>
      <c r="F326" s="1748"/>
      <c r="G326" s="1748"/>
      <c r="H326" s="1748"/>
      <c r="I326" s="1748"/>
      <c r="J326" s="1748"/>
      <c r="K326" s="1748"/>
      <c r="L326" s="1748"/>
      <c r="M326" s="1748"/>
      <c r="N326" s="1748"/>
      <c r="O326" s="1748"/>
      <c r="P326" s="6"/>
      <c r="Q326" s="6"/>
      <c r="R326" s="6"/>
      <c r="S326" s="6"/>
    </row>
    <row r="327" spans="1:19" x14ac:dyDescent="0.2">
      <c r="A327" s="1749"/>
      <c r="B327" s="1749"/>
      <c r="C327" s="1748"/>
      <c r="D327" s="1748"/>
      <c r="E327" s="1748"/>
      <c r="F327" s="1748"/>
      <c r="G327" s="1748"/>
      <c r="H327" s="1748"/>
      <c r="I327" s="1748"/>
      <c r="J327" s="1748"/>
      <c r="K327" s="1748"/>
      <c r="L327" s="1748"/>
      <c r="M327" s="1748"/>
      <c r="N327" s="1748"/>
      <c r="O327" s="1748"/>
      <c r="P327" s="6"/>
      <c r="Q327" s="6"/>
      <c r="R327" s="6"/>
      <c r="S327" s="6"/>
    </row>
    <row r="328" spans="1:19" x14ac:dyDescent="0.2">
      <c r="A328" s="1749"/>
      <c r="B328" s="1749"/>
      <c r="C328" s="1748"/>
      <c r="D328" s="1748"/>
      <c r="E328" s="1748"/>
      <c r="F328" s="1748"/>
      <c r="G328" s="1748"/>
      <c r="H328" s="1748"/>
      <c r="I328" s="1748"/>
      <c r="J328" s="1748"/>
      <c r="K328" s="1748"/>
      <c r="L328" s="1748"/>
      <c r="M328" s="1748"/>
      <c r="N328" s="1748"/>
      <c r="O328" s="1748"/>
      <c r="P328" s="6"/>
      <c r="Q328" s="6"/>
      <c r="R328" s="6"/>
      <c r="S328" s="6"/>
    </row>
    <row r="329" spans="1:19" x14ac:dyDescent="0.2">
      <c r="A329" s="1749"/>
      <c r="B329" s="1749"/>
      <c r="C329" s="1748"/>
      <c r="D329" s="1748"/>
      <c r="E329" s="1748"/>
      <c r="F329" s="1748"/>
      <c r="G329" s="1748"/>
      <c r="H329" s="1748"/>
      <c r="I329" s="1748"/>
      <c r="J329" s="1748"/>
      <c r="K329" s="1748"/>
      <c r="L329" s="1748"/>
      <c r="M329" s="1748"/>
      <c r="N329" s="1748"/>
      <c r="O329" s="1748"/>
      <c r="P329" s="6"/>
      <c r="Q329" s="6"/>
      <c r="R329" s="6"/>
      <c r="S329" s="6"/>
    </row>
    <row r="330" spans="1:19" x14ac:dyDescent="0.2">
      <c r="A330" s="1749"/>
      <c r="B330" s="1749"/>
      <c r="C330" s="1748"/>
      <c r="D330" s="1748"/>
      <c r="E330" s="1748"/>
      <c r="F330" s="1748"/>
      <c r="G330" s="1748"/>
      <c r="H330" s="1748"/>
      <c r="I330" s="1748"/>
      <c r="J330" s="1748"/>
      <c r="K330" s="1748"/>
      <c r="L330" s="1748"/>
      <c r="M330" s="1748"/>
      <c r="N330" s="1748"/>
      <c r="O330" s="1748"/>
      <c r="P330" s="6"/>
      <c r="Q330" s="6"/>
      <c r="R330" s="6"/>
      <c r="S330" s="6"/>
    </row>
    <row r="331" spans="1:19" x14ac:dyDescent="0.2">
      <c r="A331" s="1749"/>
      <c r="B331" s="1749"/>
      <c r="C331" s="1748"/>
      <c r="D331" s="1748"/>
      <c r="E331" s="1748"/>
      <c r="F331" s="1748"/>
      <c r="G331" s="1748"/>
      <c r="H331" s="1748"/>
      <c r="I331" s="1748"/>
      <c r="J331" s="1748"/>
      <c r="K331" s="1748"/>
      <c r="L331" s="1748"/>
      <c r="M331" s="1748"/>
      <c r="N331" s="1748"/>
      <c r="O331" s="1748"/>
      <c r="P331" s="6"/>
      <c r="Q331" s="6"/>
      <c r="R331" s="6"/>
      <c r="S331" s="6"/>
    </row>
    <row r="332" spans="1:19" x14ac:dyDescent="0.2">
      <c r="A332" s="1749"/>
      <c r="B332" s="1749"/>
      <c r="C332" s="1748"/>
      <c r="D332" s="1748"/>
      <c r="E332" s="1748"/>
      <c r="F332" s="1748"/>
      <c r="G332" s="1748"/>
      <c r="H332" s="1748"/>
      <c r="I332" s="1748"/>
      <c r="J332" s="1748"/>
      <c r="K332" s="1748"/>
      <c r="L332" s="1748"/>
      <c r="M332" s="1748"/>
      <c r="N332" s="1748"/>
      <c r="O332" s="1748"/>
      <c r="P332" s="6"/>
      <c r="Q332" s="6"/>
      <c r="R332" s="6"/>
      <c r="S332" s="6"/>
    </row>
    <row r="333" spans="1:19" x14ac:dyDescent="0.2">
      <c r="A333" s="1749"/>
      <c r="B333" s="1749"/>
      <c r="C333" s="1748"/>
      <c r="D333" s="1748"/>
      <c r="E333" s="1748"/>
      <c r="F333" s="1748"/>
      <c r="G333" s="1748"/>
      <c r="H333" s="1748"/>
      <c r="I333" s="1748"/>
      <c r="J333" s="1748"/>
      <c r="K333" s="1748"/>
      <c r="L333" s="1748"/>
      <c r="M333" s="1748"/>
      <c r="N333" s="1748"/>
      <c r="O333" s="1748"/>
      <c r="P333" s="6"/>
      <c r="Q333" s="6"/>
      <c r="R333" s="6"/>
      <c r="S333" s="6"/>
    </row>
    <row r="334" spans="1:19" x14ac:dyDescent="0.2">
      <c r="A334" s="1749"/>
      <c r="B334" s="1749"/>
      <c r="C334" s="1748"/>
      <c r="D334" s="1748"/>
      <c r="E334" s="1748"/>
      <c r="F334" s="1748"/>
      <c r="G334" s="1748"/>
      <c r="H334" s="1748"/>
      <c r="I334" s="1748"/>
      <c r="J334" s="1748"/>
      <c r="K334" s="1748"/>
      <c r="L334" s="1748"/>
      <c r="M334" s="1748"/>
      <c r="N334" s="1748"/>
      <c r="O334" s="1748"/>
      <c r="P334" s="6"/>
      <c r="Q334" s="6"/>
      <c r="R334" s="6"/>
      <c r="S334" s="6"/>
    </row>
    <row r="335" spans="1:19" x14ac:dyDescent="0.2">
      <c r="A335" s="1749"/>
      <c r="B335" s="1749"/>
      <c r="C335" s="1748"/>
      <c r="D335" s="1748"/>
      <c r="E335" s="1748"/>
      <c r="F335" s="1748"/>
      <c r="G335" s="1748"/>
      <c r="H335" s="1748"/>
      <c r="I335" s="1748"/>
      <c r="J335" s="1748"/>
      <c r="K335" s="1748"/>
      <c r="L335" s="1748"/>
      <c r="M335" s="1748"/>
      <c r="N335" s="1748"/>
      <c r="O335" s="1748"/>
      <c r="P335" s="6"/>
      <c r="Q335" s="6"/>
      <c r="R335" s="6"/>
      <c r="S335" s="6"/>
    </row>
    <row r="336" spans="1:19" x14ac:dyDescent="0.2">
      <c r="A336" s="1749"/>
      <c r="B336" s="1749"/>
      <c r="C336" s="1748"/>
      <c r="D336" s="1748"/>
      <c r="E336" s="1748"/>
      <c r="F336" s="1748"/>
      <c r="G336" s="1748"/>
      <c r="H336" s="1748"/>
      <c r="I336" s="1748"/>
      <c r="J336" s="1748"/>
      <c r="K336" s="1748"/>
      <c r="L336" s="1748"/>
      <c r="M336" s="1748"/>
      <c r="N336" s="1748"/>
      <c r="O336" s="1748"/>
      <c r="P336" s="6"/>
      <c r="Q336" s="6"/>
      <c r="R336" s="6"/>
      <c r="S336" s="6"/>
    </row>
    <row r="337" spans="1:19" x14ac:dyDescent="0.2">
      <c r="A337" s="1749"/>
      <c r="B337" s="1749"/>
      <c r="C337" s="1748"/>
      <c r="D337" s="1748"/>
      <c r="E337" s="1748"/>
      <c r="F337" s="1748"/>
      <c r="G337" s="1748"/>
      <c r="H337" s="1748"/>
      <c r="I337" s="1748"/>
      <c r="J337" s="1748"/>
      <c r="K337" s="1748"/>
      <c r="L337" s="1748"/>
      <c r="M337" s="1748"/>
      <c r="N337" s="1748"/>
      <c r="O337" s="1748"/>
      <c r="P337" s="6"/>
      <c r="Q337" s="6"/>
      <c r="R337" s="6"/>
      <c r="S337" s="6"/>
    </row>
    <row r="338" spans="1:19" x14ac:dyDescent="0.2">
      <c r="A338" s="1749"/>
      <c r="B338" s="1749"/>
      <c r="C338" s="1748"/>
      <c r="D338" s="1748"/>
      <c r="E338" s="1748"/>
      <c r="F338" s="1748"/>
      <c r="G338" s="1748"/>
      <c r="H338" s="1748"/>
      <c r="I338" s="1748"/>
      <c r="J338" s="1748"/>
      <c r="K338" s="1748"/>
      <c r="L338" s="1748"/>
      <c r="M338" s="1748"/>
      <c r="N338" s="1748"/>
      <c r="O338" s="1748"/>
      <c r="P338" s="6"/>
      <c r="Q338" s="6"/>
      <c r="R338" s="6"/>
      <c r="S338" s="6"/>
    </row>
    <row r="339" spans="1:19" x14ac:dyDescent="0.2">
      <c r="A339" s="1749"/>
      <c r="B339" s="1749"/>
      <c r="C339" s="1748"/>
      <c r="D339" s="1748"/>
      <c r="E339" s="1748"/>
      <c r="F339" s="1748"/>
      <c r="G339" s="1748"/>
      <c r="H339" s="1748"/>
      <c r="I339" s="1748"/>
      <c r="J339" s="1748"/>
      <c r="K339" s="1748"/>
      <c r="L339" s="1748"/>
      <c r="M339" s="1748"/>
      <c r="N339" s="1748"/>
      <c r="O339" s="1748"/>
      <c r="P339" s="6"/>
      <c r="Q339" s="6"/>
      <c r="R339" s="6"/>
      <c r="S339" s="6"/>
    </row>
    <row r="340" spans="1:19" x14ac:dyDescent="0.2">
      <c r="A340" s="1749"/>
      <c r="B340" s="1749"/>
      <c r="C340" s="1748"/>
      <c r="D340" s="1748"/>
      <c r="E340" s="1748"/>
      <c r="F340" s="1748"/>
      <c r="G340" s="1748"/>
      <c r="H340" s="1748"/>
      <c r="I340" s="1748"/>
      <c r="J340" s="1748"/>
      <c r="K340" s="1748"/>
      <c r="L340" s="1748"/>
      <c r="M340" s="1748"/>
      <c r="N340" s="1748"/>
      <c r="O340" s="1748"/>
      <c r="P340" s="6"/>
      <c r="Q340" s="6"/>
      <c r="R340" s="6"/>
      <c r="S340" s="6"/>
    </row>
    <row r="341" spans="1:19" x14ac:dyDescent="0.2">
      <c r="A341" s="1749"/>
      <c r="B341" s="1749"/>
      <c r="C341" s="1748"/>
      <c r="D341" s="1748"/>
      <c r="E341" s="1748"/>
      <c r="F341" s="1748"/>
      <c r="G341" s="1748"/>
      <c r="H341" s="1748"/>
      <c r="I341" s="1748"/>
      <c r="J341" s="1748"/>
      <c r="K341" s="1748"/>
      <c r="L341" s="1748"/>
      <c r="M341" s="1748"/>
      <c r="N341" s="1748"/>
      <c r="O341" s="1748"/>
      <c r="P341" s="6"/>
      <c r="Q341" s="6"/>
      <c r="R341" s="6"/>
      <c r="S341" s="6"/>
    </row>
    <row r="342" spans="1:19" x14ac:dyDescent="0.2">
      <c r="A342" s="1749"/>
      <c r="B342" s="1749"/>
      <c r="C342" s="1748"/>
      <c r="D342" s="1748"/>
      <c r="E342" s="1748"/>
      <c r="F342" s="1748"/>
      <c r="G342" s="1748"/>
      <c r="H342" s="1748"/>
      <c r="I342" s="1748"/>
      <c r="J342" s="1748"/>
      <c r="K342" s="1748"/>
      <c r="L342" s="1748"/>
      <c r="M342" s="1748"/>
      <c r="N342" s="1748"/>
      <c r="O342" s="1748"/>
      <c r="P342" s="6"/>
      <c r="Q342" s="6"/>
      <c r="R342" s="6"/>
      <c r="S342" s="6"/>
    </row>
    <row r="343" spans="1:19" x14ac:dyDescent="0.2">
      <c r="A343" s="1749"/>
      <c r="B343" s="1749"/>
      <c r="C343" s="1748"/>
      <c r="D343" s="1748"/>
      <c r="E343" s="1748"/>
      <c r="F343" s="1748"/>
      <c r="G343" s="1748"/>
      <c r="H343" s="1748"/>
      <c r="I343" s="1748"/>
      <c r="J343" s="1748"/>
      <c r="K343" s="1748"/>
      <c r="L343" s="1748"/>
      <c r="M343" s="1748"/>
      <c r="N343" s="1748"/>
      <c r="O343" s="1748"/>
      <c r="P343" s="6"/>
      <c r="Q343" s="6"/>
      <c r="R343" s="6"/>
      <c r="S343" s="6"/>
    </row>
    <row r="344" spans="1:19" x14ac:dyDescent="0.2">
      <c r="A344" s="1749"/>
      <c r="B344" s="1749"/>
      <c r="C344" s="1748"/>
      <c r="D344" s="1748"/>
      <c r="E344" s="1748"/>
      <c r="F344" s="1748"/>
      <c r="G344" s="1748"/>
      <c r="H344" s="1748"/>
      <c r="I344" s="1748"/>
      <c r="J344" s="1748"/>
      <c r="K344" s="1748"/>
      <c r="L344" s="1748"/>
      <c r="M344" s="1748"/>
      <c r="N344" s="1748"/>
      <c r="O344" s="1748"/>
      <c r="P344" s="6"/>
      <c r="Q344" s="6"/>
      <c r="R344" s="6"/>
      <c r="S344" s="6"/>
    </row>
    <row r="345" spans="1:19" x14ac:dyDescent="0.2">
      <c r="A345" s="1749"/>
      <c r="B345" s="1749"/>
      <c r="C345" s="1748"/>
      <c r="D345" s="1748"/>
      <c r="E345" s="1748"/>
      <c r="F345" s="1748"/>
      <c r="G345" s="1748"/>
      <c r="H345" s="1748"/>
      <c r="I345" s="1748"/>
      <c r="J345" s="1748"/>
      <c r="K345" s="1748"/>
      <c r="L345" s="1748"/>
      <c r="M345" s="1748"/>
      <c r="N345" s="1748"/>
      <c r="O345" s="1748"/>
      <c r="P345" s="6"/>
      <c r="Q345" s="6"/>
      <c r="R345" s="6"/>
      <c r="S345" s="6"/>
    </row>
    <row r="346" spans="1:19" x14ac:dyDescent="0.2">
      <c r="A346" s="1749"/>
      <c r="B346" s="1749"/>
      <c r="C346" s="1748"/>
      <c r="D346" s="1748"/>
      <c r="E346" s="1748"/>
      <c r="F346" s="1748"/>
      <c r="G346" s="1748"/>
      <c r="H346" s="1748"/>
      <c r="I346" s="1748"/>
      <c r="J346" s="1748"/>
      <c r="K346" s="1748"/>
      <c r="L346" s="1748"/>
      <c r="M346" s="1748"/>
      <c r="N346" s="1748"/>
      <c r="O346" s="1748"/>
      <c r="P346" s="6"/>
      <c r="Q346" s="6"/>
      <c r="R346" s="6"/>
      <c r="S346" s="6"/>
    </row>
    <row r="347" spans="1:19" x14ac:dyDescent="0.2">
      <c r="A347" s="1749"/>
      <c r="B347" s="1749"/>
      <c r="C347" s="1748"/>
      <c r="D347" s="1748"/>
      <c r="E347" s="1748"/>
      <c r="F347" s="1748"/>
      <c r="G347" s="1748"/>
      <c r="H347" s="1748"/>
      <c r="I347" s="1748"/>
      <c r="J347" s="1748"/>
      <c r="K347" s="1748"/>
      <c r="L347" s="1748"/>
      <c r="M347" s="1748"/>
      <c r="N347" s="1748"/>
      <c r="O347" s="1748"/>
      <c r="P347" s="6"/>
      <c r="Q347" s="6"/>
      <c r="R347" s="6"/>
      <c r="S347" s="6"/>
    </row>
    <row r="348" spans="1:19" x14ac:dyDescent="0.2">
      <c r="A348" s="1749"/>
      <c r="B348" s="1749"/>
      <c r="C348" s="1748"/>
      <c r="D348" s="1748"/>
      <c r="E348" s="1748"/>
      <c r="F348" s="1748"/>
      <c r="G348" s="1748"/>
      <c r="H348" s="1748"/>
      <c r="I348" s="1748"/>
      <c r="J348" s="1748"/>
      <c r="K348" s="1748"/>
      <c r="L348" s="1748"/>
      <c r="M348" s="1748"/>
      <c r="N348" s="1748"/>
      <c r="O348" s="1748"/>
      <c r="P348" s="6"/>
      <c r="Q348" s="6"/>
      <c r="R348" s="6"/>
      <c r="S348" s="6"/>
    </row>
    <row r="349" spans="1:19" x14ac:dyDescent="0.2">
      <c r="A349" s="1749"/>
      <c r="B349" s="1749"/>
      <c r="C349" s="1748"/>
      <c r="D349" s="1748"/>
      <c r="E349" s="1748"/>
      <c r="F349" s="1748"/>
      <c r="G349" s="1748"/>
      <c r="H349" s="1748"/>
      <c r="I349" s="1748"/>
      <c r="J349" s="1748"/>
      <c r="K349" s="1748"/>
      <c r="L349" s="1748"/>
      <c r="M349" s="1748"/>
      <c r="N349" s="1748"/>
      <c r="O349" s="1748"/>
      <c r="P349" s="6"/>
      <c r="Q349" s="6"/>
      <c r="R349" s="6"/>
      <c r="S349" s="6"/>
    </row>
    <row r="350" spans="1:19" x14ac:dyDescent="0.2">
      <c r="A350" s="1749"/>
      <c r="B350" s="1749"/>
      <c r="C350" s="1748"/>
      <c r="D350" s="1748"/>
      <c r="E350" s="1748"/>
      <c r="F350" s="1748"/>
      <c r="G350" s="1748"/>
      <c r="H350" s="1748"/>
      <c r="I350" s="1748"/>
      <c r="J350" s="1748"/>
      <c r="K350" s="1748"/>
      <c r="L350" s="1748"/>
      <c r="M350" s="1748"/>
      <c r="N350" s="1748"/>
      <c r="O350" s="1748"/>
      <c r="P350" s="6"/>
      <c r="Q350" s="6"/>
      <c r="R350" s="6"/>
      <c r="S350" s="6"/>
    </row>
    <row r="351" spans="1:19" x14ac:dyDescent="0.2">
      <c r="A351" s="1749"/>
      <c r="B351" s="1749"/>
      <c r="C351" s="1748"/>
      <c r="D351" s="1748"/>
      <c r="E351" s="1748"/>
      <c r="F351" s="1748"/>
      <c r="G351" s="1748"/>
      <c r="H351" s="1748"/>
      <c r="I351" s="1748"/>
      <c r="J351" s="1748"/>
      <c r="K351" s="1748"/>
      <c r="L351" s="1748"/>
      <c r="M351" s="1748"/>
      <c r="N351" s="1748"/>
      <c r="O351" s="1748"/>
      <c r="P351" s="6"/>
      <c r="Q351" s="6"/>
      <c r="R351" s="6"/>
      <c r="S351" s="6"/>
    </row>
    <row r="352" spans="1:19" x14ac:dyDescent="0.2">
      <c r="A352" s="1749"/>
      <c r="B352" s="1749"/>
      <c r="C352" s="1748"/>
      <c r="D352" s="1748"/>
      <c r="E352" s="1748"/>
      <c r="F352" s="1748"/>
      <c r="G352" s="1748"/>
      <c r="H352" s="1748"/>
      <c r="I352" s="1748"/>
      <c r="J352" s="1748"/>
      <c r="K352" s="1748"/>
      <c r="L352" s="1748"/>
      <c r="M352" s="1748"/>
      <c r="N352" s="1748"/>
      <c r="O352" s="1748"/>
      <c r="P352" s="6"/>
      <c r="Q352" s="6"/>
      <c r="R352" s="6"/>
      <c r="S352" s="6"/>
    </row>
    <row r="353" spans="1:19" x14ac:dyDescent="0.2">
      <c r="A353" s="1749"/>
      <c r="B353" s="1749"/>
      <c r="C353" s="1748"/>
      <c r="D353" s="1748"/>
      <c r="E353" s="1748"/>
      <c r="F353" s="1748"/>
      <c r="G353" s="1748"/>
      <c r="H353" s="1748"/>
      <c r="I353" s="1748"/>
      <c r="J353" s="1748"/>
      <c r="K353" s="1748"/>
      <c r="L353" s="1748"/>
      <c r="M353" s="1748"/>
      <c r="N353" s="1748"/>
      <c r="O353" s="1748"/>
      <c r="P353" s="6"/>
      <c r="Q353" s="6"/>
      <c r="R353" s="6"/>
      <c r="S353" s="6"/>
    </row>
    <row r="354" spans="1:19" x14ac:dyDescent="0.2">
      <c r="A354" s="1749"/>
      <c r="B354" s="1749"/>
      <c r="C354" s="1748"/>
      <c r="D354" s="1748"/>
      <c r="E354" s="1748"/>
      <c r="F354" s="1748"/>
      <c r="G354" s="1748"/>
      <c r="H354" s="1748"/>
      <c r="I354" s="1748"/>
      <c r="J354" s="1748"/>
      <c r="K354" s="1748"/>
      <c r="L354" s="1748"/>
      <c r="M354" s="1748"/>
      <c r="N354" s="1748"/>
      <c r="O354" s="1748"/>
      <c r="P354" s="6"/>
      <c r="Q354" s="6"/>
      <c r="R354" s="6"/>
      <c r="S354" s="6"/>
    </row>
    <row r="355" spans="1:19" x14ac:dyDescent="0.2">
      <c r="A355" s="1749"/>
      <c r="B355" s="1749"/>
      <c r="C355" s="1748"/>
      <c r="D355" s="1748"/>
      <c r="E355" s="1748"/>
      <c r="F355" s="1748"/>
      <c r="G355" s="1748"/>
      <c r="H355" s="1748"/>
      <c r="I355" s="1748"/>
      <c r="J355" s="1748"/>
      <c r="K355" s="1748"/>
      <c r="L355" s="1748"/>
      <c r="M355" s="1748"/>
      <c r="N355" s="1748"/>
      <c r="O355" s="1748"/>
      <c r="P355" s="6"/>
      <c r="Q355" s="6"/>
      <c r="R355" s="6"/>
      <c r="S355" s="6"/>
    </row>
    <row r="356" spans="1:19" x14ac:dyDescent="0.2">
      <c r="A356" s="1749"/>
      <c r="B356" s="1749"/>
      <c r="C356" s="1748"/>
      <c r="D356" s="1748"/>
      <c r="E356" s="1748"/>
      <c r="F356" s="1748"/>
      <c r="G356" s="1748"/>
      <c r="H356" s="1748"/>
      <c r="I356" s="1748"/>
      <c r="J356" s="1748"/>
      <c r="K356" s="1748"/>
      <c r="L356" s="1748"/>
      <c r="M356" s="1748"/>
      <c r="N356" s="1748"/>
      <c r="O356" s="1748"/>
      <c r="P356" s="6"/>
      <c r="Q356" s="6"/>
      <c r="R356" s="6"/>
      <c r="S356" s="6"/>
    </row>
    <row r="357" spans="1:19" x14ac:dyDescent="0.2">
      <c r="A357" s="1749"/>
      <c r="B357" s="1749"/>
      <c r="C357" s="1748"/>
      <c r="D357" s="1748"/>
      <c r="E357" s="1748"/>
      <c r="F357" s="1748"/>
      <c r="G357" s="1748"/>
      <c r="H357" s="1748"/>
      <c r="I357" s="1748"/>
      <c r="J357" s="1748"/>
      <c r="K357" s="1748"/>
      <c r="L357" s="1748"/>
      <c r="M357" s="1748"/>
      <c r="N357" s="1748"/>
      <c r="O357" s="1748"/>
      <c r="P357" s="6"/>
      <c r="Q357" s="6"/>
      <c r="R357" s="6"/>
      <c r="S357" s="6"/>
    </row>
    <row r="358" spans="1:19" x14ac:dyDescent="0.2">
      <c r="A358" s="1749"/>
      <c r="B358" s="1749"/>
      <c r="C358" s="1748"/>
      <c r="D358" s="1748"/>
      <c r="E358" s="1748"/>
      <c r="F358" s="1748"/>
      <c r="G358" s="1748"/>
      <c r="H358" s="1748"/>
      <c r="I358" s="1748"/>
      <c r="J358" s="1748"/>
      <c r="K358" s="1748"/>
      <c r="L358" s="1748"/>
      <c r="M358" s="1748"/>
      <c r="N358" s="1748"/>
      <c r="O358" s="1748"/>
      <c r="P358" s="6"/>
      <c r="Q358" s="6"/>
      <c r="R358" s="6"/>
      <c r="S358" s="6"/>
    </row>
    <row r="359" spans="1:19" x14ac:dyDescent="0.2">
      <c r="A359" s="1749"/>
      <c r="B359" s="1749"/>
      <c r="C359" s="1748"/>
      <c r="D359" s="1748"/>
      <c r="E359" s="1748"/>
      <c r="F359" s="1748"/>
      <c r="G359" s="1748"/>
      <c r="H359" s="1748"/>
      <c r="I359" s="1748"/>
      <c r="J359" s="1748"/>
      <c r="K359" s="1748"/>
      <c r="L359" s="1748"/>
      <c r="M359" s="1748"/>
      <c r="N359" s="1748"/>
      <c r="O359" s="1748"/>
      <c r="P359" s="6"/>
      <c r="Q359" s="6"/>
      <c r="R359" s="6"/>
      <c r="S359" s="6"/>
    </row>
    <row r="360" spans="1:19" x14ac:dyDescent="0.2">
      <c r="A360" s="1749"/>
      <c r="B360" s="1749"/>
      <c r="C360" s="1748"/>
      <c r="D360" s="1748"/>
      <c r="E360" s="1748"/>
      <c r="F360" s="1748"/>
      <c r="G360" s="1748"/>
      <c r="H360" s="1748"/>
      <c r="I360" s="1748"/>
      <c r="J360" s="1748"/>
      <c r="K360" s="1748"/>
      <c r="L360" s="1748"/>
      <c r="M360" s="1748"/>
      <c r="N360" s="1748"/>
      <c r="O360" s="1748"/>
      <c r="P360" s="6"/>
      <c r="Q360" s="6"/>
      <c r="R360" s="6"/>
      <c r="S360" s="6"/>
    </row>
    <row r="361" spans="1:19" x14ac:dyDescent="0.2">
      <c r="A361" s="1749"/>
      <c r="B361" s="1749"/>
      <c r="C361" s="1748"/>
      <c r="D361" s="1748"/>
      <c r="E361" s="1748"/>
      <c r="F361" s="1748"/>
      <c r="G361" s="1748"/>
      <c r="H361" s="1748"/>
      <c r="I361" s="1748"/>
      <c r="J361" s="1748"/>
      <c r="K361" s="1748"/>
      <c r="L361" s="1748"/>
      <c r="M361" s="1748"/>
      <c r="N361" s="1748"/>
      <c r="O361" s="1748"/>
      <c r="P361" s="6"/>
      <c r="Q361" s="6"/>
      <c r="R361" s="6"/>
      <c r="S361" s="6"/>
    </row>
    <row r="362" spans="1:19" x14ac:dyDescent="0.2">
      <c r="A362" s="1749"/>
      <c r="B362" s="1749"/>
      <c r="C362" s="1748"/>
      <c r="D362" s="1748"/>
      <c r="E362" s="1748"/>
      <c r="F362" s="1748"/>
      <c r="G362" s="1748"/>
      <c r="H362" s="1748"/>
      <c r="I362" s="1748"/>
      <c r="J362" s="1748"/>
      <c r="K362" s="1748"/>
      <c r="L362" s="1748"/>
      <c r="M362" s="1748"/>
      <c r="N362" s="1748"/>
      <c r="O362" s="1748"/>
      <c r="P362" s="6"/>
      <c r="Q362" s="6"/>
      <c r="R362" s="6"/>
      <c r="S362" s="6"/>
    </row>
    <row r="363" spans="1:19" x14ac:dyDescent="0.2">
      <c r="A363" s="1749"/>
      <c r="B363" s="1749"/>
      <c r="C363" s="1748"/>
      <c r="D363" s="1748"/>
      <c r="E363" s="1748"/>
      <c r="F363" s="1748"/>
      <c r="G363" s="1748"/>
      <c r="H363" s="1748"/>
      <c r="I363" s="1748"/>
      <c r="J363" s="1748"/>
      <c r="K363" s="1748"/>
      <c r="L363" s="1748"/>
      <c r="M363" s="1748"/>
      <c r="N363" s="1748"/>
      <c r="O363" s="1748"/>
      <c r="P363" s="6"/>
      <c r="Q363" s="6"/>
      <c r="R363" s="6"/>
      <c r="S363" s="6"/>
    </row>
    <row r="364" spans="1:19" x14ac:dyDescent="0.2">
      <c r="A364" s="1749"/>
      <c r="B364" s="1749"/>
      <c r="C364" s="1748"/>
      <c r="D364" s="1748"/>
      <c r="E364" s="1748"/>
      <c r="F364" s="1748"/>
      <c r="G364" s="1748"/>
      <c r="H364" s="1748"/>
      <c r="I364" s="1748"/>
      <c r="J364" s="1748"/>
      <c r="K364" s="1748"/>
      <c r="L364" s="1748"/>
      <c r="M364" s="1748"/>
      <c r="N364" s="1748"/>
      <c r="O364" s="1748"/>
      <c r="P364" s="6"/>
      <c r="Q364" s="6"/>
      <c r="R364" s="6"/>
      <c r="S364" s="6"/>
    </row>
    <row r="365" spans="1:19" x14ac:dyDescent="0.2">
      <c r="A365" s="1749"/>
      <c r="B365" s="1749"/>
      <c r="C365" s="1748"/>
      <c r="D365" s="1748"/>
      <c r="E365" s="1748"/>
      <c r="F365" s="1748"/>
      <c r="G365" s="1748"/>
      <c r="H365" s="1748"/>
      <c r="I365" s="1748"/>
      <c r="J365" s="1748"/>
      <c r="K365" s="1748"/>
      <c r="L365" s="1748"/>
      <c r="M365" s="1748"/>
      <c r="N365" s="1748"/>
      <c r="O365" s="1748"/>
      <c r="P365" s="6"/>
      <c r="Q365" s="6"/>
      <c r="R365" s="6"/>
      <c r="S365" s="6"/>
    </row>
    <row r="366" spans="1:19" x14ac:dyDescent="0.2">
      <c r="A366" s="1749"/>
      <c r="B366" s="1749"/>
      <c r="C366" s="1748"/>
      <c r="D366" s="1748"/>
      <c r="E366" s="1748"/>
      <c r="F366" s="1748"/>
      <c r="G366" s="1748"/>
      <c r="H366" s="1748"/>
      <c r="I366" s="1748"/>
      <c r="J366" s="1748"/>
      <c r="K366" s="1748"/>
      <c r="L366" s="1748"/>
      <c r="M366" s="1748"/>
      <c r="N366" s="1748"/>
      <c r="O366" s="1748"/>
      <c r="P366" s="6"/>
      <c r="Q366" s="6"/>
      <c r="R366" s="6"/>
      <c r="S366" s="6"/>
    </row>
    <row r="367" spans="1:19" x14ac:dyDescent="0.2">
      <c r="A367" s="1749"/>
      <c r="B367" s="1749"/>
      <c r="C367" s="1748"/>
      <c r="D367" s="1748"/>
      <c r="E367" s="1748"/>
      <c r="F367" s="1748"/>
      <c r="G367" s="1748"/>
      <c r="H367" s="1748"/>
      <c r="I367" s="1748"/>
      <c r="J367" s="1748"/>
      <c r="K367" s="1748"/>
      <c r="L367" s="1748"/>
      <c r="M367" s="1748"/>
      <c r="N367" s="1748"/>
      <c r="O367" s="1748"/>
      <c r="P367" s="6"/>
      <c r="Q367" s="6"/>
      <c r="R367" s="6"/>
      <c r="S367" s="6"/>
    </row>
    <row r="368" spans="1:19" x14ac:dyDescent="0.2">
      <c r="A368" s="1749"/>
      <c r="B368" s="1749"/>
      <c r="C368" s="1748"/>
      <c r="D368" s="1748"/>
      <c r="E368" s="1748"/>
      <c r="F368" s="1748"/>
      <c r="G368" s="1748"/>
      <c r="H368" s="1748"/>
      <c r="I368" s="1748"/>
      <c r="J368" s="1748"/>
      <c r="K368" s="1748"/>
      <c r="L368" s="1748"/>
      <c r="M368" s="1748"/>
      <c r="N368" s="1748"/>
      <c r="O368" s="1748"/>
      <c r="P368" s="6"/>
      <c r="Q368" s="6"/>
      <c r="R368" s="6"/>
      <c r="S368" s="6"/>
    </row>
    <row r="369" spans="1:19" x14ac:dyDescent="0.2">
      <c r="A369" s="1749"/>
      <c r="B369" s="1749"/>
      <c r="C369" s="1748"/>
      <c r="D369" s="1748"/>
      <c r="E369" s="1748"/>
      <c r="F369" s="1748"/>
      <c r="G369" s="1748"/>
      <c r="H369" s="1748"/>
      <c r="I369" s="1748"/>
      <c r="J369" s="1748"/>
      <c r="K369" s="1748"/>
      <c r="L369" s="1748"/>
      <c r="M369" s="1748"/>
      <c r="N369" s="1748"/>
      <c r="O369" s="1748"/>
      <c r="P369" s="6"/>
      <c r="Q369" s="6"/>
      <c r="R369" s="6"/>
      <c r="S369" s="6"/>
    </row>
    <row r="370" spans="1:19" x14ac:dyDescent="0.2">
      <c r="A370" s="1749"/>
      <c r="B370" s="1749"/>
      <c r="C370" s="1748"/>
      <c r="D370" s="1748"/>
      <c r="E370" s="1748"/>
      <c r="F370" s="1748"/>
      <c r="G370" s="1748"/>
      <c r="H370" s="1748"/>
      <c r="I370" s="1748"/>
      <c r="J370" s="1748"/>
      <c r="K370" s="1748"/>
      <c r="L370" s="1748"/>
      <c r="M370" s="1748"/>
      <c r="N370" s="1748"/>
      <c r="O370" s="1748"/>
      <c r="P370" s="6"/>
      <c r="Q370" s="6"/>
      <c r="R370" s="6"/>
      <c r="S370" s="6"/>
    </row>
    <row r="371" spans="1:19" x14ac:dyDescent="0.2">
      <c r="A371" s="1749"/>
      <c r="B371" s="1749"/>
      <c r="C371" s="1748"/>
      <c r="D371" s="1748"/>
      <c r="E371" s="1748"/>
      <c r="F371" s="1748"/>
      <c r="G371" s="1748"/>
      <c r="H371" s="1748"/>
      <c r="I371" s="1748"/>
      <c r="J371" s="1748"/>
      <c r="K371" s="1748"/>
      <c r="L371" s="1748"/>
      <c r="M371" s="1748"/>
      <c r="N371" s="1748"/>
      <c r="O371" s="1748"/>
      <c r="P371" s="6"/>
      <c r="Q371" s="6"/>
      <c r="R371" s="6"/>
      <c r="S371" s="6"/>
    </row>
    <row r="372" spans="1:19" x14ac:dyDescent="0.2">
      <c r="A372" s="1749"/>
      <c r="B372" s="1749"/>
      <c r="C372" s="1748"/>
      <c r="D372" s="1748"/>
      <c r="E372" s="1748"/>
      <c r="F372" s="1748"/>
      <c r="G372" s="1748"/>
      <c r="H372" s="1748"/>
      <c r="I372" s="1748"/>
      <c r="J372" s="1748"/>
      <c r="K372" s="1748"/>
      <c r="L372" s="1748"/>
      <c r="M372" s="1748"/>
      <c r="N372" s="1748"/>
      <c r="O372" s="1748"/>
      <c r="P372" s="6"/>
      <c r="Q372" s="6"/>
      <c r="R372" s="6"/>
      <c r="S372" s="6"/>
    </row>
    <row r="373" spans="1:19" x14ac:dyDescent="0.2">
      <c r="A373" s="1749"/>
      <c r="B373" s="1749"/>
      <c r="C373" s="1748"/>
      <c r="D373" s="1748"/>
      <c r="E373" s="1748"/>
      <c r="F373" s="1748"/>
      <c r="G373" s="1748"/>
      <c r="H373" s="1748"/>
      <c r="I373" s="1748"/>
      <c r="J373" s="1748"/>
      <c r="K373" s="1748"/>
      <c r="L373" s="1748"/>
      <c r="M373" s="1748"/>
      <c r="N373" s="1748"/>
      <c r="O373" s="1748"/>
      <c r="P373" s="6"/>
      <c r="Q373" s="6"/>
      <c r="R373" s="6"/>
      <c r="S373" s="6"/>
    </row>
    <row r="374" spans="1:19" x14ac:dyDescent="0.2">
      <c r="A374" s="1749"/>
      <c r="B374" s="1749"/>
      <c r="C374" s="1748"/>
      <c r="D374" s="1748"/>
      <c r="E374" s="1748"/>
      <c r="F374" s="1748"/>
      <c r="G374" s="1748"/>
      <c r="H374" s="1748"/>
      <c r="I374" s="1748"/>
      <c r="J374" s="1748"/>
      <c r="K374" s="1748"/>
      <c r="L374" s="1748"/>
      <c r="M374" s="1748"/>
      <c r="N374" s="1748"/>
      <c r="O374" s="1748"/>
      <c r="P374" s="6"/>
      <c r="Q374" s="6"/>
      <c r="R374" s="6"/>
      <c r="S374" s="6"/>
    </row>
    <row r="375" spans="1:19" x14ac:dyDescent="0.2">
      <c r="A375" s="1749"/>
      <c r="B375" s="1749"/>
      <c r="C375" s="1748"/>
      <c r="D375" s="1748"/>
      <c r="E375" s="1748"/>
      <c r="F375" s="1748"/>
      <c r="G375" s="1748"/>
      <c r="H375" s="1748"/>
      <c r="I375" s="1748"/>
      <c r="J375" s="1748"/>
      <c r="K375" s="1748"/>
      <c r="L375" s="1748"/>
      <c r="M375" s="1748"/>
      <c r="N375" s="1748"/>
      <c r="O375" s="1748"/>
      <c r="P375" s="6"/>
      <c r="Q375" s="6"/>
      <c r="R375" s="6"/>
      <c r="S375" s="6"/>
    </row>
    <row r="376" spans="1:19" x14ac:dyDescent="0.2">
      <c r="A376" s="1749"/>
      <c r="B376" s="1749"/>
      <c r="C376" s="1748"/>
      <c r="D376" s="1748"/>
      <c r="E376" s="1748"/>
      <c r="F376" s="1748"/>
      <c r="G376" s="1748"/>
      <c r="H376" s="1748"/>
      <c r="I376" s="1748"/>
      <c r="J376" s="1748"/>
      <c r="K376" s="1748"/>
      <c r="L376" s="1748"/>
      <c r="M376" s="1748"/>
      <c r="N376" s="1748"/>
      <c r="O376" s="1748"/>
      <c r="P376" s="6"/>
      <c r="Q376" s="6"/>
      <c r="R376" s="6"/>
      <c r="S376" s="6"/>
    </row>
    <row r="377" spans="1:19" x14ac:dyDescent="0.2">
      <c r="A377" s="1749"/>
      <c r="B377" s="1749"/>
      <c r="C377" s="1748"/>
      <c r="D377" s="1748"/>
      <c r="E377" s="1748"/>
      <c r="F377" s="1748"/>
      <c r="G377" s="1748"/>
      <c r="H377" s="1748"/>
      <c r="I377" s="1748"/>
      <c r="J377" s="1748"/>
      <c r="K377" s="1748"/>
      <c r="L377" s="1748"/>
      <c r="M377" s="1748"/>
      <c r="N377" s="1748"/>
      <c r="O377" s="1748"/>
      <c r="P377" s="6"/>
      <c r="Q377" s="6"/>
      <c r="R377" s="6"/>
      <c r="S377" s="6"/>
    </row>
    <row r="378" spans="1:19" x14ac:dyDescent="0.2">
      <c r="A378" s="1749"/>
      <c r="B378" s="1749"/>
      <c r="C378" s="1748"/>
      <c r="D378" s="1748"/>
      <c r="E378" s="1748"/>
      <c r="F378" s="1748"/>
      <c r="G378" s="1748"/>
      <c r="H378" s="1748"/>
      <c r="I378" s="1748"/>
      <c r="J378" s="1748"/>
      <c r="K378" s="1748"/>
      <c r="L378" s="1748"/>
      <c r="M378" s="1748"/>
      <c r="N378" s="1748"/>
      <c r="O378" s="1748"/>
      <c r="P378" s="6"/>
      <c r="Q378" s="6"/>
      <c r="R378" s="6"/>
      <c r="S378" s="6"/>
    </row>
    <row r="379" spans="1:19" x14ac:dyDescent="0.2">
      <c r="A379" s="1749"/>
      <c r="B379" s="1749"/>
      <c r="C379" s="1748"/>
      <c r="D379" s="1748"/>
      <c r="E379" s="1748"/>
      <c r="F379" s="1748"/>
      <c r="G379" s="1748"/>
      <c r="H379" s="1748"/>
      <c r="I379" s="1748"/>
      <c r="J379" s="1748"/>
      <c r="K379" s="1748"/>
      <c r="L379" s="1748"/>
      <c r="M379" s="1748"/>
      <c r="N379" s="1748"/>
      <c r="O379" s="1748"/>
      <c r="P379" s="6"/>
      <c r="Q379" s="6"/>
      <c r="R379" s="6"/>
      <c r="S379" s="6"/>
    </row>
    <row r="380" spans="1:19" x14ac:dyDescent="0.2">
      <c r="A380" s="1749"/>
      <c r="B380" s="1749"/>
      <c r="C380" s="1748"/>
      <c r="D380" s="1748"/>
      <c r="E380" s="1748"/>
      <c r="F380" s="1748"/>
      <c r="G380" s="1748"/>
      <c r="H380" s="1748"/>
      <c r="I380" s="1748"/>
      <c r="J380" s="1748"/>
      <c r="K380" s="1748"/>
      <c r="L380" s="1748"/>
      <c r="M380" s="1748"/>
      <c r="N380" s="1748"/>
      <c r="O380" s="1748"/>
      <c r="P380" s="6"/>
      <c r="Q380" s="6"/>
      <c r="R380" s="6"/>
      <c r="S380" s="6"/>
    </row>
    <row r="381" spans="1:19" x14ac:dyDescent="0.2">
      <c r="A381" s="1749"/>
      <c r="B381" s="1749"/>
      <c r="C381" s="1748"/>
      <c r="D381" s="1748"/>
      <c r="E381" s="1748"/>
      <c r="F381" s="1748"/>
      <c r="G381" s="1748"/>
      <c r="H381" s="1748"/>
      <c r="I381" s="1748"/>
      <c r="J381" s="1748"/>
      <c r="K381" s="1748"/>
      <c r="L381" s="1748"/>
      <c r="M381" s="1748"/>
      <c r="N381" s="1748"/>
      <c r="O381" s="1748"/>
      <c r="P381" s="6"/>
      <c r="Q381" s="6"/>
      <c r="R381" s="6"/>
      <c r="S381" s="6"/>
    </row>
    <row r="382" spans="1:19" x14ac:dyDescent="0.2">
      <c r="A382" s="1749"/>
      <c r="B382" s="1749"/>
      <c r="C382" s="1748"/>
      <c r="D382" s="1748"/>
      <c r="E382" s="1748"/>
      <c r="F382" s="1748"/>
      <c r="G382" s="1748"/>
      <c r="H382" s="1748"/>
      <c r="I382" s="1748"/>
      <c r="J382" s="1748"/>
      <c r="K382" s="1748"/>
      <c r="L382" s="1748"/>
      <c r="M382" s="1748"/>
      <c r="N382" s="1748"/>
      <c r="O382" s="1748"/>
      <c r="P382" s="6"/>
      <c r="Q382" s="6"/>
      <c r="R382" s="6"/>
      <c r="S382" s="6"/>
    </row>
    <row r="383" spans="1:19" x14ac:dyDescent="0.2">
      <c r="A383" s="1749"/>
      <c r="B383" s="1749"/>
      <c r="C383" s="1748"/>
      <c r="D383" s="1748"/>
      <c r="E383" s="1748"/>
      <c r="F383" s="1748"/>
      <c r="G383" s="1748"/>
      <c r="H383" s="1748"/>
      <c r="I383" s="1748"/>
      <c r="J383" s="1748"/>
      <c r="K383" s="1748"/>
      <c r="L383" s="1748"/>
      <c r="M383" s="1748"/>
      <c r="N383" s="1748"/>
      <c r="O383" s="1748"/>
      <c r="P383" s="6"/>
      <c r="Q383" s="6"/>
      <c r="R383" s="6"/>
      <c r="S383" s="6"/>
    </row>
    <row r="384" spans="1:19" x14ac:dyDescent="0.2">
      <c r="A384" s="1749"/>
      <c r="B384" s="1749"/>
      <c r="C384" s="1748"/>
      <c r="D384" s="1748"/>
      <c r="E384" s="1748"/>
      <c r="F384" s="1748"/>
      <c r="G384" s="1748"/>
      <c r="H384" s="1748"/>
      <c r="I384" s="1748"/>
      <c r="J384" s="1748"/>
      <c r="K384" s="1748"/>
      <c r="L384" s="1748"/>
      <c r="M384" s="1748"/>
      <c r="N384" s="1748"/>
      <c r="O384" s="1748"/>
      <c r="P384" s="6"/>
      <c r="Q384" s="6"/>
      <c r="R384" s="6"/>
      <c r="S384" s="6"/>
    </row>
    <row r="385" spans="1:19" x14ac:dyDescent="0.2">
      <c r="A385" s="1749"/>
      <c r="B385" s="1749"/>
      <c r="C385" s="1748"/>
      <c r="D385" s="1748"/>
      <c r="E385" s="1748"/>
      <c r="F385" s="1748"/>
      <c r="G385" s="1748"/>
      <c r="H385" s="1748"/>
      <c r="I385" s="1748"/>
      <c r="J385" s="1748"/>
      <c r="K385" s="1748"/>
      <c r="L385" s="1748"/>
      <c r="M385" s="1748"/>
      <c r="N385" s="1748"/>
      <c r="O385" s="1748"/>
      <c r="P385" s="6"/>
      <c r="Q385" s="6"/>
      <c r="R385" s="6"/>
      <c r="S385" s="6"/>
    </row>
    <row r="386" spans="1:19" x14ac:dyDescent="0.2">
      <c r="A386" s="1749"/>
      <c r="B386" s="1749"/>
      <c r="C386" s="1748"/>
      <c r="D386" s="1748"/>
      <c r="E386" s="1748"/>
      <c r="F386" s="1748"/>
      <c r="G386" s="1748"/>
      <c r="H386" s="1748"/>
      <c r="I386" s="1748"/>
      <c r="J386" s="1748"/>
      <c r="K386" s="1748"/>
      <c r="L386" s="1748"/>
      <c r="M386" s="1748"/>
      <c r="N386" s="1748"/>
      <c r="O386" s="1748"/>
      <c r="P386" s="6"/>
      <c r="Q386" s="6"/>
      <c r="R386" s="6"/>
      <c r="S386" s="6"/>
    </row>
    <row r="387" spans="1:19" x14ac:dyDescent="0.2">
      <c r="A387" s="1749"/>
      <c r="B387" s="1749"/>
      <c r="C387" s="1748"/>
      <c r="D387" s="1748"/>
      <c r="E387" s="1748"/>
      <c r="F387" s="1748"/>
      <c r="G387" s="1748"/>
      <c r="H387" s="1748"/>
      <c r="I387" s="1748"/>
      <c r="J387" s="1748"/>
      <c r="K387" s="1748"/>
      <c r="L387" s="1748"/>
      <c r="M387" s="1748"/>
      <c r="N387" s="1748"/>
      <c r="O387" s="1748"/>
      <c r="P387" s="6"/>
      <c r="Q387" s="6"/>
      <c r="R387" s="6"/>
      <c r="S387" s="6"/>
    </row>
    <row r="388" spans="1:19" x14ac:dyDescent="0.2">
      <c r="A388" s="1749"/>
      <c r="B388" s="1749"/>
      <c r="C388" s="1748"/>
      <c r="D388" s="1748"/>
      <c r="E388" s="1748"/>
      <c r="F388" s="1748"/>
      <c r="G388" s="1748"/>
      <c r="H388" s="1748"/>
      <c r="I388" s="1748"/>
      <c r="J388" s="1748"/>
      <c r="K388" s="1748"/>
      <c r="L388" s="1748"/>
      <c r="M388" s="1748"/>
      <c r="N388" s="1748"/>
      <c r="O388" s="1748"/>
      <c r="P388" s="6"/>
      <c r="Q388" s="6"/>
      <c r="R388" s="6"/>
      <c r="S388" s="6"/>
    </row>
    <row r="389" spans="1:19" x14ac:dyDescent="0.2">
      <c r="A389" s="1749"/>
      <c r="B389" s="1749"/>
      <c r="C389" s="1748"/>
      <c r="D389" s="1748"/>
      <c r="E389" s="1748"/>
      <c r="F389" s="1748"/>
      <c r="G389" s="1748"/>
      <c r="H389" s="1748"/>
      <c r="I389" s="1748"/>
      <c r="J389" s="1748"/>
      <c r="K389" s="1748"/>
      <c r="L389" s="1748"/>
      <c r="M389" s="1748"/>
      <c r="N389" s="1748"/>
      <c r="O389" s="1748"/>
      <c r="P389" s="6"/>
      <c r="Q389" s="6"/>
      <c r="R389" s="6"/>
      <c r="S389" s="6"/>
    </row>
    <row r="390" spans="1:19" x14ac:dyDescent="0.2">
      <c r="A390" s="1749"/>
      <c r="B390" s="1749"/>
      <c r="C390" s="1748"/>
      <c r="D390" s="1748"/>
      <c r="E390" s="1748"/>
      <c r="F390" s="1748"/>
      <c r="G390" s="1748"/>
      <c r="H390" s="1748"/>
      <c r="I390" s="1748"/>
      <c r="J390" s="1748"/>
      <c r="K390" s="1748"/>
      <c r="L390" s="1748"/>
      <c r="M390" s="1748"/>
      <c r="N390" s="1748"/>
      <c r="O390" s="1748"/>
      <c r="P390" s="6"/>
      <c r="Q390" s="6"/>
      <c r="R390" s="6"/>
      <c r="S390" s="6"/>
    </row>
    <row r="391" spans="1:19" x14ac:dyDescent="0.2">
      <c r="A391" s="1749"/>
      <c r="B391" s="1749"/>
      <c r="C391" s="1748"/>
      <c r="D391" s="1748"/>
      <c r="E391" s="1748"/>
      <c r="F391" s="1748"/>
      <c r="G391" s="1748"/>
      <c r="H391" s="1748"/>
      <c r="I391" s="1748"/>
      <c r="J391" s="1748"/>
      <c r="K391" s="1748"/>
      <c r="L391" s="1748"/>
      <c r="M391" s="1748"/>
      <c r="N391" s="1748"/>
      <c r="O391" s="1748"/>
      <c r="P391" s="6"/>
      <c r="Q391" s="6"/>
      <c r="R391" s="6"/>
      <c r="S391" s="6"/>
    </row>
    <row r="392" spans="1:19" x14ac:dyDescent="0.2">
      <c r="A392" s="1749"/>
      <c r="B392" s="1749"/>
      <c r="C392" s="1748"/>
      <c r="D392" s="1748"/>
      <c r="E392" s="1748"/>
      <c r="F392" s="1748"/>
      <c r="G392" s="1748"/>
      <c r="H392" s="1748"/>
      <c r="I392" s="1748"/>
      <c r="J392" s="1748"/>
      <c r="K392" s="1748"/>
      <c r="L392" s="1748"/>
      <c r="M392" s="1748"/>
      <c r="N392" s="1748"/>
      <c r="O392" s="1748"/>
      <c r="P392" s="6"/>
      <c r="Q392" s="6"/>
      <c r="R392" s="6"/>
      <c r="S392" s="6"/>
    </row>
    <row r="393" spans="1:19" x14ac:dyDescent="0.2">
      <c r="A393" s="1749"/>
      <c r="B393" s="1749"/>
      <c r="C393" s="1748"/>
      <c r="D393" s="1748"/>
      <c r="E393" s="1748"/>
      <c r="F393" s="1748"/>
      <c r="G393" s="1748"/>
      <c r="H393" s="1748"/>
      <c r="I393" s="1748"/>
      <c r="J393" s="1748"/>
      <c r="K393" s="1748"/>
      <c r="L393" s="1748"/>
      <c r="M393" s="1748"/>
      <c r="N393" s="1748"/>
      <c r="O393" s="1748"/>
      <c r="P393" s="6"/>
      <c r="Q393" s="6"/>
      <c r="R393" s="6"/>
      <c r="S393" s="6"/>
    </row>
    <row r="394" spans="1:19" x14ac:dyDescent="0.2">
      <c r="A394" s="1749"/>
      <c r="B394" s="1749"/>
      <c r="C394" s="1748"/>
      <c r="D394" s="1748"/>
      <c r="E394" s="1748"/>
      <c r="F394" s="1748"/>
      <c r="G394" s="1748"/>
      <c r="H394" s="1748"/>
      <c r="I394" s="1748"/>
      <c r="J394" s="1748"/>
      <c r="K394" s="1748"/>
      <c r="L394" s="1748"/>
      <c r="M394" s="1748"/>
      <c r="N394" s="1748"/>
      <c r="O394" s="1748"/>
      <c r="P394" s="6"/>
      <c r="Q394" s="6"/>
      <c r="R394" s="6"/>
      <c r="S394" s="6"/>
    </row>
    <row r="395" spans="1:19" x14ac:dyDescent="0.2">
      <c r="A395" s="1749"/>
      <c r="B395" s="1749"/>
      <c r="C395" s="1748"/>
      <c r="D395" s="1748"/>
      <c r="E395" s="1748"/>
      <c r="F395" s="1748"/>
      <c r="G395" s="1748"/>
      <c r="H395" s="1748"/>
      <c r="I395" s="1748"/>
      <c r="J395" s="1748"/>
      <c r="K395" s="1748"/>
      <c r="L395" s="1748"/>
      <c r="M395" s="1748"/>
      <c r="N395" s="1748"/>
      <c r="O395" s="1748"/>
      <c r="P395" s="6"/>
      <c r="Q395" s="6"/>
      <c r="R395" s="6"/>
      <c r="S395" s="6"/>
    </row>
    <row r="396" spans="1:19" x14ac:dyDescent="0.2">
      <c r="A396" s="1749"/>
      <c r="B396" s="1749"/>
      <c r="C396" s="1748"/>
      <c r="D396" s="1748"/>
      <c r="E396" s="1748"/>
      <c r="F396" s="1748"/>
      <c r="G396" s="1748"/>
      <c r="H396" s="1748"/>
      <c r="I396" s="1748"/>
      <c r="J396" s="1748"/>
      <c r="K396" s="1748"/>
      <c r="L396" s="1748"/>
      <c r="M396" s="1748"/>
      <c r="N396" s="1748"/>
      <c r="O396" s="1748"/>
      <c r="P396" s="6"/>
      <c r="Q396" s="6"/>
      <c r="R396" s="6"/>
      <c r="S396" s="6"/>
    </row>
    <row r="397" spans="1:19" x14ac:dyDescent="0.2">
      <c r="A397" s="1749"/>
      <c r="B397" s="1749"/>
      <c r="C397" s="1748"/>
      <c r="D397" s="1748"/>
      <c r="E397" s="1748"/>
      <c r="F397" s="1748"/>
      <c r="G397" s="1748"/>
      <c r="H397" s="1748"/>
      <c r="I397" s="1748"/>
      <c r="J397" s="1748"/>
      <c r="K397" s="1748"/>
      <c r="L397" s="1748"/>
      <c r="M397" s="1748"/>
      <c r="N397" s="1748"/>
      <c r="O397" s="1748"/>
      <c r="P397" s="6"/>
      <c r="Q397" s="6"/>
      <c r="R397" s="6"/>
      <c r="S397" s="6"/>
    </row>
    <row r="398" spans="1:19" x14ac:dyDescent="0.2">
      <c r="A398" s="1749"/>
      <c r="B398" s="1749"/>
      <c r="C398" s="1748"/>
      <c r="D398" s="1748"/>
      <c r="E398" s="1748"/>
      <c r="F398" s="1748"/>
      <c r="G398" s="1748"/>
      <c r="H398" s="1748"/>
      <c r="I398" s="1748"/>
      <c r="J398" s="1748"/>
      <c r="K398" s="1748"/>
      <c r="L398" s="1748"/>
      <c r="M398" s="1748"/>
      <c r="N398" s="1748"/>
      <c r="O398" s="1748"/>
      <c r="P398" s="6"/>
      <c r="Q398" s="6"/>
      <c r="R398" s="6"/>
      <c r="S398" s="6"/>
    </row>
    <row r="399" spans="1:19" x14ac:dyDescent="0.2">
      <c r="A399" s="1749"/>
      <c r="B399" s="1749"/>
      <c r="C399" s="1748"/>
      <c r="D399" s="1748"/>
      <c r="E399" s="1748"/>
      <c r="F399" s="1748"/>
      <c r="G399" s="1748"/>
      <c r="H399" s="1748"/>
      <c r="I399" s="1748"/>
      <c r="J399" s="1748"/>
      <c r="K399" s="1748"/>
      <c r="L399" s="1748"/>
      <c r="M399" s="1748"/>
      <c r="N399" s="1748"/>
      <c r="O399" s="1748"/>
      <c r="P399" s="6"/>
      <c r="Q399" s="6"/>
      <c r="R399" s="6"/>
      <c r="S399" s="6"/>
    </row>
    <row r="400" spans="1:19" x14ac:dyDescent="0.2">
      <c r="A400" s="1749"/>
      <c r="B400" s="1749"/>
      <c r="C400" s="1748"/>
      <c r="D400" s="1748"/>
      <c r="E400" s="1748"/>
      <c r="F400" s="1748"/>
      <c r="G400" s="1748"/>
      <c r="H400" s="1748"/>
      <c r="I400" s="1748"/>
      <c r="J400" s="1748"/>
      <c r="K400" s="1748"/>
      <c r="L400" s="1748"/>
      <c r="M400" s="1748"/>
      <c r="N400" s="1748"/>
      <c r="O400" s="1748"/>
      <c r="P400" s="6"/>
      <c r="Q400" s="6"/>
      <c r="R400" s="6"/>
      <c r="S400" s="6"/>
    </row>
    <row r="401" spans="1:19" x14ac:dyDescent="0.2">
      <c r="A401" s="1749"/>
      <c r="B401" s="1749"/>
      <c r="C401" s="1748"/>
      <c r="D401" s="1748"/>
      <c r="E401" s="1748"/>
      <c r="F401" s="1748"/>
      <c r="G401" s="1748"/>
      <c r="H401" s="1748"/>
      <c r="I401" s="1748"/>
      <c r="J401" s="1748"/>
      <c r="K401" s="1748"/>
      <c r="L401" s="1748"/>
      <c r="M401" s="1748"/>
      <c r="N401" s="1748"/>
      <c r="O401" s="1748"/>
      <c r="P401" s="6"/>
      <c r="Q401" s="6"/>
      <c r="R401" s="6"/>
      <c r="S401" s="6"/>
    </row>
    <row r="402" spans="1:19" x14ac:dyDescent="0.2">
      <c r="A402" s="1749"/>
      <c r="B402" s="1749"/>
      <c r="C402" s="1748"/>
      <c r="D402" s="1748"/>
      <c r="E402" s="1748"/>
      <c r="F402" s="1748"/>
      <c r="G402" s="1748"/>
      <c r="H402" s="1748"/>
      <c r="I402" s="1748"/>
      <c r="J402" s="1748"/>
      <c r="K402" s="1748"/>
      <c r="L402" s="1748"/>
      <c r="M402" s="1748"/>
      <c r="N402" s="1748"/>
      <c r="O402" s="1748"/>
      <c r="P402" s="6"/>
      <c r="Q402" s="6"/>
      <c r="R402" s="6"/>
      <c r="S402" s="6"/>
    </row>
    <row r="403" spans="1:19" x14ac:dyDescent="0.2">
      <c r="A403" s="1749"/>
      <c r="B403" s="1749"/>
      <c r="C403" s="1748"/>
      <c r="D403" s="1748"/>
      <c r="E403" s="1748"/>
      <c r="F403" s="1748"/>
      <c r="G403" s="1748"/>
      <c r="H403" s="1748"/>
      <c r="I403" s="1748"/>
      <c r="J403" s="1748"/>
      <c r="K403" s="1748"/>
      <c r="L403" s="1748"/>
      <c r="M403" s="1748"/>
      <c r="N403" s="1748"/>
      <c r="O403" s="1748"/>
      <c r="P403" s="6"/>
      <c r="Q403" s="6"/>
      <c r="R403" s="6"/>
      <c r="S403" s="6"/>
    </row>
    <row r="404" spans="1:19" x14ac:dyDescent="0.2">
      <c r="A404" s="1749"/>
      <c r="B404" s="1749"/>
      <c r="C404" s="1748"/>
      <c r="D404" s="1748"/>
      <c r="E404" s="1748"/>
      <c r="F404" s="1748"/>
      <c r="G404" s="1748"/>
      <c r="H404" s="1748"/>
      <c r="I404" s="1748"/>
      <c r="J404" s="1748"/>
      <c r="K404" s="1748"/>
      <c r="L404" s="1748"/>
      <c r="M404" s="1748"/>
      <c r="N404" s="1748"/>
      <c r="O404" s="1748"/>
      <c r="P404" s="6"/>
      <c r="Q404" s="6"/>
      <c r="R404" s="6"/>
      <c r="S404" s="6"/>
    </row>
    <row r="405" spans="1:19" x14ac:dyDescent="0.2">
      <c r="A405" s="1749"/>
      <c r="B405" s="1749"/>
      <c r="C405" s="1748"/>
      <c r="D405" s="1748"/>
      <c r="E405" s="1748"/>
      <c r="F405" s="1748"/>
      <c r="G405" s="1748"/>
      <c r="H405" s="1748"/>
      <c r="I405" s="1748"/>
      <c r="J405" s="1748"/>
      <c r="K405" s="1748"/>
      <c r="L405" s="1748"/>
      <c r="M405" s="1748"/>
      <c r="N405" s="1748"/>
      <c r="O405" s="1748"/>
      <c r="P405" s="6"/>
      <c r="Q405" s="6"/>
      <c r="R405" s="6"/>
      <c r="S405" s="6"/>
    </row>
    <row r="406" spans="1:19" x14ac:dyDescent="0.2">
      <c r="A406" s="1749"/>
      <c r="B406" s="1749"/>
      <c r="C406" s="1748"/>
      <c r="D406" s="1748"/>
      <c r="E406" s="1748"/>
      <c r="F406" s="1748"/>
      <c r="G406" s="1748"/>
      <c r="H406" s="1748"/>
      <c r="I406" s="1748"/>
      <c r="J406" s="1748"/>
      <c r="K406" s="1748"/>
      <c r="L406" s="1748"/>
      <c r="M406" s="1748"/>
      <c r="N406" s="1748"/>
      <c r="O406" s="1748"/>
      <c r="P406" s="6"/>
      <c r="Q406" s="6"/>
      <c r="R406" s="6"/>
      <c r="S406" s="6"/>
    </row>
    <row r="407" spans="1:19" x14ac:dyDescent="0.2">
      <c r="A407" s="1749"/>
      <c r="B407" s="1749"/>
      <c r="C407" s="1748"/>
      <c r="D407" s="1748"/>
      <c r="E407" s="1748"/>
      <c r="F407" s="1748"/>
      <c r="G407" s="1748"/>
      <c r="H407" s="1748"/>
      <c r="I407" s="1748"/>
      <c r="J407" s="1748"/>
      <c r="K407" s="1748"/>
      <c r="L407" s="1748"/>
      <c r="M407" s="1748"/>
      <c r="N407" s="1748"/>
      <c r="O407" s="1748"/>
      <c r="P407" s="6"/>
      <c r="Q407" s="6"/>
      <c r="R407" s="6"/>
      <c r="S407" s="6"/>
    </row>
    <row r="408" spans="1:19" x14ac:dyDescent="0.2">
      <c r="A408" s="1749"/>
      <c r="B408" s="1749"/>
      <c r="C408" s="1748"/>
      <c r="D408" s="1748"/>
      <c r="E408" s="1748"/>
      <c r="F408" s="1748"/>
      <c r="G408" s="1748"/>
      <c r="H408" s="1748"/>
      <c r="I408" s="1748"/>
      <c r="J408" s="1748"/>
      <c r="K408" s="1748"/>
      <c r="L408" s="1748"/>
      <c r="M408" s="1748"/>
      <c r="N408" s="1748"/>
      <c r="O408" s="1748"/>
      <c r="P408" s="6"/>
      <c r="Q408" s="6"/>
      <c r="R408" s="6"/>
      <c r="S408" s="6"/>
    </row>
    <row r="409" spans="1:19" x14ac:dyDescent="0.2">
      <c r="A409" s="1749"/>
      <c r="B409" s="1749"/>
      <c r="C409" s="1748"/>
      <c r="D409" s="1748"/>
      <c r="E409" s="1748"/>
      <c r="F409" s="1748"/>
      <c r="G409" s="1748"/>
      <c r="H409" s="1748"/>
      <c r="I409" s="1748"/>
      <c r="J409" s="1748"/>
      <c r="K409" s="1748"/>
      <c r="L409" s="1748"/>
      <c r="M409" s="1748"/>
      <c r="N409" s="1748"/>
      <c r="O409" s="1748"/>
      <c r="P409" s="6"/>
      <c r="Q409" s="6"/>
      <c r="R409" s="6"/>
      <c r="S409" s="6"/>
    </row>
    <row r="410" spans="1:19" x14ac:dyDescent="0.2">
      <c r="A410" s="1749"/>
      <c r="B410" s="1749"/>
      <c r="C410" s="1748"/>
      <c r="D410" s="1748"/>
      <c r="E410" s="1748"/>
      <c r="F410" s="1748"/>
      <c r="G410" s="1748"/>
      <c r="H410" s="1748"/>
      <c r="I410" s="1748"/>
      <c r="J410" s="1748"/>
      <c r="K410" s="1748"/>
      <c r="L410" s="1748"/>
      <c r="M410" s="1748"/>
      <c r="N410" s="1748"/>
      <c r="O410" s="1748"/>
      <c r="P410" s="6"/>
      <c r="Q410" s="6"/>
      <c r="R410" s="6"/>
      <c r="S410" s="6"/>
    </row>
    <row r="411" spans="1:19" x14ac:dyDescent="0.2">
      <c r="A411" s="1749"/>
      <c r="B411" s="1749"/>
      <c r="C411" s="1748"/>
      <c r="D411" s="1748"/>
      <c r="E411" s="1748"/>
      <c r="F411" s="1748"/>
      <c r="G411" s="1748"/>
      <c r="H411" s="1748"/>
      <c r="I411" s="1748"/>
      <c r="J411" s="1748"/>
      <c r="K411" s="1748"/>
      <c r="L411" s="1748"/>
      <c r="M411" s="1748"/>
      <c r="N411" s="1748"/>
      <c r="O411" s="1748"/>
      <c r="P411" s="6"/>
      <c r="Q411" s="6"/>
      <c r="R411" s="6"/>
      <c r="S411" s="6"/>
    </row>
    <row r="412" spans="1:19" x14ac:dyDescent="0.2">
      <c r="A412" s="1749"/>
      <c r="B412" s="1749"/>
      <c r="C412" s="1748"/>
      <c r="D412" s="1748"/>
      <c r="E412" s="1748"/>
      <c r="F412" s="1748"/>
      <c r="G412" s="1748"/>
      <c r="H412" s="1748"/>
      <c r="I412" s="1748"/>
      <c r="J412" s="1748"/>
      <c r="K412" s="1748"/>
      <c r="L412" s="1748"/>
      <c r="M412" s="1748"/>
      <c r="N412" s="1748"/>
      <c r="O412" s="1748"/>
      <c r="P412" s="6"/>
      <c r="Q412" s="6"/>
      <c r="R412" s="6"/>
      <c r="S412" s="6"/>
    </row>
    <row r="413" spans="1:19" x14ac:dyDescent="0.2">
      <c r="A413" s="1749"/>
      <c r="B413" s="1749"/>
      <c r="C413" s="1748"/>
      <c r="D413" s="1748"/>
      <c r="E413" s="1748"/>
      <c r="F413" s="1748"/>
      <c r="G413" s="1748"/>
      <c r="H413" s="1748"/>
      <c r="I413" s="1748"/>
      <c r="J413" s="1748"/>
      <c r="K413" s="1748"/>
      <c r="L413" s="1748"/>
      <c r="M413" s="1748"/>
      <c r="N413" s="1748"/>
      <c r="O413" s="1748"/>
      <c r="P413" s="6"/>
      <c r="Q413" s="6"/>
      <c r="R413" s="6"/>
      <c r="S413" s="6"/>
    </row>
    <row r="414" spans="1:19" x14ac:dyDescent="0.2">
      <c r="A414" s="1749"/>
      <c r="B414" s="1749"/>
      <c r="C414" s="1748"/>
      <c r="D414" s="1748"/>
      <c r="E414" s="1748"/>
      <c r="F414" s="1748"/>
      <c r="G414" s="1748"/>
      <c r="H414" s="1748"/>
      <c r="I414" s="1748"/>
      <c r="J414" s="1748"/>
      <c r="K414" s="1748"/>
      <c r="L414" s="1748"/>
      <c r="M414" s="1748"/>
      <c r="N414" s="1748"/>
      <c r="O414" s="1748"/>
      <c r="P414" s="6"/>
      <c r="Q414" s="6"/>
      <c r="R414" s="6"/>
      <c r="S414" s="6"/>
    </row>
    <row r="415" spans="1:19" x14ac:dyDescent="0.2">
      <c r="A415" s="1749"/>
      <c r="B415" s="1749"/>
      <c r="C415" s="1748"/>
      <c r="D415" s="1748"/>
      <c r="E415" s="1748"/>
      <c r="F415" s="1748"/>
      <c r="G415" s="1748"/>
      <c r="H415" s="1748"/>
      <c r="I415" s="1748"/>
      <c r="J415" s="1748"/>
      <c r="K415" s="1748"/>
      <c r="L415" s="1748"/>
      <c r="M415" s="1748"/>
      <c r="N415" s="1748"/>
      <c r="O415" s="1748"/>
      <c r="P415" s="6"/>
      <c r="Q415" s="6"/>
      <c r="R415" s="6"/>
      <c r="S415" s="6"/>
    </row>
    <row r="416" spans="1:19" x14ac:dyDescent="0.2">
      <c r="A416" s="1749"/>
      <c r="B416" s="1749"/>
      <c r="C416" s="1748"/>
      <c r="D416" s="1748"/>
      <c r="E416" s="1748"/>
      <c r="F416" s="1748"/>
      <c r="G416" s="1748"/>
      <c r="H416" s="1748"/>
      <c r="I416" s="1748"/>
      <c r="J416" s="1748"/>
      <c r="K416" s="1748"/>
      <c r="L416" s="1748"/>
      <c r="M416" s="1748"/>
      <c r="N416" s="1748"/>
      <c r="O416" s="1748"/>
      <c r="P416" s="6"/>
      <c r="Q416" s="6"/>
      <c r="R416" s="6"/>
      <c r="S416" s="6"/>
    </row>
    <row r="417" spans="1:19" x14ac:dyDescent="0.2">
      <c r="A417" s="1749"/>
      <c r="B417" s="1749"/>
      <c r="C417" s="1748"/>
      <c r="D417" s="1748"/>
      <c r="E417" s="1748"/>
      <c r="F417" s="1748"/>
      <c r="G417" s="1748"/>
      <c r="H417" s="1748"/>
      <c r="I417" s="1748"/>
      <c r="J417" s="1748"/>
      <c r="K417" s="1748"/>
      <c r="L417" s="1748"/>
      <c r="M417" s="1748"/>
      <c r="N417" s="1748"/>
      <c r="O417" s="1748"/>
      <c r="P417" s="6"/>
      <c r="Q417" s="6"/>
      <c r="R417" s="6"/>
      <c r="S417" s="6"/>
    </row>
    <row r="418" spans="1:19" x14ac:dyDescent="0.2">
      <c r="A418" s="1749"/>
      <c r="B418" s="1749"/>
      <c r="C418" s="1748"/>
      <c r="D418" s="1748"/>
      <c r="E418" s="1748"/>
      <c r="F418" s="1748"/>
      <c r="G418" s="1748"/>
      <c r="H418" s="1748"/>
      <c r="I418" s="1748"/>
      <c r="J418" s="1748"/>
      <c r="K418" s="1748"/>
      <c r="L418" s="1748"/>
      <c r="M418" s="1748"/>
      <c r="N418" s="1748"/>
      <c r="O418" s="1748"/>
      <c r="P418" s="6"/>
      <c r="Q418" s="6"/>
      <c r="R418" s="6"/>
      <c r="S418" s="6"/>
    </row>
    <row r="419" spans="1:19" x14ac:dyDescent="0.2">
      <c r="A419" s="1749"/>
      <c r="B419" s="1749"/>
      <c r="C419" s="1748"/>
      <c r="D419" s="1748"/>
      <c r="E419" s="1748"/>
      <c r="F419" s="1748"/>
      <c r="G419" s="1748"/>
      <c r="H419" s="1748"/>
      <c r="I419" s="1748"/>
      <c r="J419" s="1748"/>
      <c r="K419" s="1748"/>
      <c r="L419" s="1748"/>
      <c r="M419" s="1748"/>
      <c r="N419" s="1748"/>
      <c r="O419" s="1748"/>
      <c r="P419" s="6"/>
      <c r="Q419" s="6"/>
      <c r="R419" s="6"/>
      <c r="S419" s="6"/>
    </row>
    <row r="420" spans="1:19" x14ac:dyDescent="0.2">
      <c r="A420" s="1749"/>
      <c r="B420" s="1749"/>
      <c r="C420" s="1748"/>
      <c r="D420" s="1748"/>
      <c r="E420" s="1748"/>
      <c r="F420" s="1748"/>
      <c r="G420" s="1748"/>
      <c r="H420" s="1748"/>
      <c r="I420" s="1748"/>
      <c r="J420" s="1748"/>
      <c r="K420" s="1748"/>
      <c r="L420" s="1748"/>
      <c r="M420" s="1748"/>
      <c r="N420" s="1748"/>
      <c r="O420" s="1748"/>
      <c r="P420" s="6"/>
      <c r="Q420" s="6"/>
      <c r="R420" s="6"/>
      <c r="S420" s="6"/>
    </row>
    <row r="421" spans="1:19" x14ac:dyDescent="0.2">
      <c r="A421" s="1749"/>
      <c r="B421" s="1749"/>
      <c r="C421" s="1748"/>
      <c r="D421" s="1748"/>
      <c r="E421" s="1748"/>
      <c r="F421" s="1748"/>
      <c r="G421" s="1748"/>
      <c r="H421" s="1748"/>
      <c r="I421" s="1748"/>
      <c r="J421" s="1748"/>
      <c r="K421" s="1748"/>
      <c r="L421" s="1748"/>
      <c r="M421" s="1748"/>
      <c r="N421" s="1748"/>
      <c r="O421" s="1748"/>
      <c r="P421" s="6"/>
      <c r="Q421" s="6"/>
      <c r="R421" s="6"/>
      <c r="S421" s="6"/>
    </row>
    <row r="422" spans="1:19" x14ac:dyDescent="0.2">
      <c r="A422" s="1749"/>
      <c r="B422" s="1749"/>
      <c r="C422" s="1748"/>
      <c r="D422" s="1748"/>
      <c r="E422" s="1748"/>
      <c r="F422" s="1748"/>
      <c r="G422" s="1748"/>
      <c r="H422" s="1748"/>
      <c r="I422" s="1748"/>
      <c r="J422" s="1748"/>
      <c r="K422" s="1748"/>
      <c r="L422" s="1748"/>
      <c r="M422" s="1748"/>
      <c r="N422" s="1748"/>
      <c r="O422" s="1748"/>
      <c r="P422" s="6"/>
      <c r="Q422" s="6"/>
      <c r="R422" s="6"/>
      <c r="S422" s="6"/>
    </row>
    <row r="423" spans="1:19" x14ac:dyDescent="0.2">
      <c r="A423" s="1749"/>
      <c r="B423" s="1749"/>
      <c r="C423" s="1748"/>
      <c r="D423" s="1748"/>
      <c r="E423" s="1748"/>
      <c r="F423" s="1748"/>
      <c r="G423" s="1748"/>
      <c r="H423" s="1748"/>
      <c r="I423" s="1748"/>
      <c r="J423" s="1748"/>
      <c r="K423" s="1748"/>
      <c r="L423" s="1748"/>
      <c r="M423" s="1748"/>
      <c r="N423" s="1748"/>
      <c r="O423" s="1748"/>
      <c r="P423" s="6"/>
      <c r="Q423" s="6"/>
      <c r="R423" s="6"/>
      <c r="S423" s="6"/>
    </row>
    <row r="424" spans="1:19" x14ac:dyDescent="0.2">
      <c r="A424" s="1749"/>
      <c r="B424" s="1749"/>
      <c r="C424" s="1748"/>
      <c r="D424" s="1748"/>
      <c r="E424" s="1748"/>
      <c r="F424" s="1748"/>
      <c r="G424" s="1748"/>
      <c r="H424" s="1748"/>
      <c r="I424" s="1748"/>
      <c r="J424" s="1748"/>
      <c r="K424" s="1748"/>
      <c r="L424" s="1748"/>
      <c r="M424" s="1748"/>
      <c r="N424" s="1748"/>
      <c r="O424" s="1748"/>
      <c r="P424" s="6"/>
      <c r="Q424" s="6"/>
      <c r="R424" s="6"/>
      <c r="S424" s="6"/>
    </row>
    <row r="425" spans="1:19" x14ac:dyDescent="0.2">
      <c r="A425" s="1749"/>
      <c r="B425" s="1749"/>
      <c r="C425" s="1748"/>
      <c r="D425" s="1748"/>
      <c r="E425" s="1748"/>
      <c r="F425" s="1748"/>
      <c r="G425" s="1748"/>
      <c r="H425" s="1748"/>
      <c r="I425" s="1748"/>
      <c r="J425" s="1748"/>
      <c r="K425" s="1748"/>
      <c r="L425" s="1748"/>
      <c r="M425" s="1748"/>
      <c r="N425" s="1748"/>
      <c r="O425" s="1748"/>
      <c r="P425" s="6"/>
      <c r="Q425" s="6"/>
      <c r="R425" s="6"/>
      <c r="S425" s="6"/>
    </row>
    <row r="426" spans="1:19" x14ac:dyDescent="0.2">
      <c r="A426" s="1749"/>
      <c r="B426" s="1749"/>
      <c r="C426" s="1748"/>
      <c r="D426" s="1748"/>
      <c r="E426" s="1748"/>
      <c r="F426" s="1748"/>
      <c r="G426" s="1748"/>
      <c r="H426" s="1748"/>
      <c r="I426" s="1748"/>
      <c r="J426" s="1748"/>
      <c r="K426" s="1748"/>
      <c r="L426" s="1748"/>
      <c r="M426" s="1748"/>
      <c r="N426" s="1748"/>
      <c r="O426" s="1748"/>
      <c r="P426" s="6"/>
      <c r="Q426" s="6"/>
      <c r="R426" s="6"/>
      <c r="S426" s="6"/>
    </row>
    <row r="427" spans="1:19" x14ac:dyDescent="0.2">
      <c r="A427" s="1749"/>
      <c r="B427" s="1749"/>
      <c r="C427" s="1748"/>
      <c r="D427" s="1748"/>
      <c r="E427" s="1748"/>
      <c r="F427" s="1748"/>
      <c r="G427" s="1748"/>
      <c r="H427" s="1748"/>
      <c r="I427" s="1748"/>
      <c r="J427" s="1748"/>
      <c r="K427" s="1748"/>
      <c r="L427" s="1748"/>
      <c r="M427" s="1748"/>
      <c r="N427" s="1748"/>
      <c r="O427" s="1748"/>
      <c r="P427" s="6"/>
      <c r="Q427" s="6"/>
      <c r="R427" s="6"/>
      <c r="S427" s="6"/>
    </row>
    <row r="428" spans="1:19" x14ac:dyDescent="0.2">
      <c r="A428" s="1749"/>
      <c r="B428" s="1749"/>
      <c r="C428" s="1748"/>
      <c r="D428" s="1748"/>
      <c r="E428" s="1748"/>
      <c r="F428" s="1748"/>
      <c r="G428" s="1748"/>
      <c r="H428" s="1748"/>
      <c r="I428" s="1748"/>
      <c r="J428" s="1748"/>
      <c r="K428" s="1748"/>
      <c r="L428" s="1748"/>
      <c r="M428" s="1748"/>
      <c r="N428" s="1748"/>
      <c r="O428" s="1748"/>
      <c r="P428" s="6"/>
      <c r="Q428" s="6"/>
      <c r="R428" s="6"/>
      <c r="S428" s="6"/>
    </row>
    <row r="429" spans="1:19" x14ac:dyDescent="0.2">
      <c r="A429" s="1749"/>
      <c r="B429" s="1749"/>
      <c r="C429" s="1748"/>
      <c r="D429" s="1748"/>
      <c r="E429" s="1748"/>
      <c r="F429" s="1748"/>
      <c r="G429" s="1748"/>
      <c r="H429" s="1748"/>
      <c r="I429" s="1748"/>
      <c r="J429" s="1748"/>
      <c r="K429" s="1748"/>
      <c r="L429" s="1748"/>
      <c r="M429" s="1748"/>
      <c r="N429" s="1748"/>
      <c r="O429" s="1748"/>
      <c r="P429" s="6"/>
      <c r="Q429" s="6"/>
      <c r="R429" s="6"/>
      <c r="S429" s="6"/>
    </row>
    <row r="430" spans="1:19" x14ac:dyDescent="0.2">
      <c r="A430" s="1749"/>
      <c r="B430" s="1749"/>
      <c r="C430" s="1748"/>
      <c r="D430" s="1748"/>
      <c r="E430" s="1748"/>
      <c r="F430" s="1748"/>
      <c r="G430" s="1748"/>
      <c r="H430" s="1748"/>
      <c r="I430" s="1748"/>
      <c r="J430" s="1748"/>
      <c r="K430" s="1748"/>
      <c r="L430" s="1748"/>
      <c r="M430" s="1748"/>
      <c r="N430" s="1748"/>
      <c r="O430" s="1748"/>
      <c r="P430" s="6"/>
      <c r="Q430" s="6"/>
      <c r="R430" s="6"/>
      <c r="S430" s="6"/>
    </row>
    <row r="431" spans="1:19" x14ac:dyDescent="0.2">
      <c r="A431" s="1749"/>
      <c r="B431" s="1749"/>
      <c r="C431" s="1748"/>
      <c r="D431" s="1748"/>
      <c r="E431" s="1748"/>
      <c r="F431" s="1748"/>
      <c r="G431" s="1748"/>
      <c r="H431" s="1748"/>
      <c r="I431" s="1748"/>
      <c r="J431" s="1748"/>
      <c r="K431" s="1748"/>
      <c r="L431" s="1748"/>
      <c r="M431" s="1748"/>
      <c r="N431" s="1748"/>
      <c r="O431" s="1748"/>
      <c r="P431" s="6"/>
      <c r="Q431" s="6"/>
      <c r="R431" s="6"/>
      <c r="S431" s="6"/>
    </row>
    <row r="432" spans="1:19" x14ac:dyDescent="0.2">
      <c r="A432" s="1749"/>
      <c r="B432" s="1749"/>
      <c r="C432" s="1748"/>
      <c r="D432" s="1748"/>
      <c r="E432" s="1748"/>
      <c r="F432" s="1748"/>
      <c r="G432" s="1748"/>
      <c r="H432" s="1748"/>
      <c r="I432" s="1748"/>
      <c r="J432" s="1748"/>
      <c r="K432" s="1748"/>
      <c r="L432" s="1748"/>
      <c r="M432" s="1748"/>
      <c r="N432" s="1748"/>
      <c r="O432" s="1748"/>
      <c r="P432" s="6"/>
      <c r="Q432" s="6"/>
      <c r="R432" s="6"/>
      <c r="S432" s="6"/>
    </row>
    <row r="433" spans="1:19" x14ac:dyDescent="0.2">
      <c r="A433" s="1749"/>
      <c r="B433" s="1749"/>
      <c r="C433" s="1748"/>
      <c r="D433" s="1748"/>
      <c r="E433" s="1748"/>
      <c r="F433" s="1748"/>
      <c r="G433" s="1748"/>
      <c r="H433" s="1748"/>
      <c r="I433" s="1748"/>
      <c r="J433" s="1748"/>
      <c r="K433" s="1748"/>
      <c r="L433" s="1748"/>
      <c r="M433" s="1748"/>
      <c r="N433" s="1748"/>
      <c r="O433" s="1748"/>
      <c r="P433" s="6"/>
      <c r="Q433" s="6"/>
      <c r="R433" s="6"/>
      <c r="S433" s="6"/>
    </row>
    <row r="434" spans="1:19" x14ac:dyDescent="0.2">
      <c r="A434" s="1749"/>
      <c r="B434" s="1749"/>
      <c r="C434" s="1748"/>
      <c r="D434" s="1748"/>
      <c r="E434" s="1748"/>
      <c r="F434" s="1748"/>
      <c r="G434" s="1748"/>
      <c r="H434" s="1748"/>
      <c r="I434" s="1748"/>
      <c r="J434" s="1748"/>
      <c r="K434" s="1748"/>
      <c r="L434" s="1748"/>
      <c r="M434" s="1748"/>
      <c r="N434" s="1748"/>
      <c r="O434" s="1748"/>
      <c r="P434" s="6"/>
      <c r="Q434" s="6"/>
      <c r="R434" s="6"/>
      <c r="S434" s="6"/>
    </row>
    <row r="435" spans="1:19" x14ac:dyDescent="0.2">
      <c r="A435" s="1749"/>
      <c r="B435" s="1749"/>
      <c r="C435" s="1748"/>
      <c r="D435" s="1748"/>
      <c r="E435" s="1748"/>
      <c r="F435" s="1748"/>
      <c r="G435" s="1748"/>
      <c r="H435" s="1748"/>
      <c r="I435" s="1748"/>
      <c r="J435" s="1748"/>
      <c r="K435" s="1748"/>
      <c r="L435" s="1748"/>
      <c r="M435" s="1748"/>
      <c r="N435" s="1748"/>
      <c r="O435" s="1748"/>
      <c r="P435" s="6"/>
      <c r="Q435" s="6"/>
      <c r="R435" s="6"/>
      <c r="S435" s="6"/>
    </row>
    <row r="436" spans="1:19" x14ac:dyDescent="0.2">
      <c r="A436" s="1749"/>
      <c r="B436" s="1749"/>
      <c r="C436" s="1748"/>
      <c r="D436" s="1748"/>
      <c r="E436" s="1748"/>
      <c r="F436" s="1748"/>
      <c r="G436" s="1748"/>
      <c r="H436" s="1748"/>
      <c r="I436" s="1748"/>
      <c r="J436" s="1748"/>
      <c r="K436" s="1748"/>
      <c r="L436" s="1748"/>
      <c r="M436" s="1748"/>
      <c r="N436" s="1748"/>
      <c r="O436" s="1748"/>
      <c r="P436" s="6"/>
      <c r="Q436" s="6"/>
      <c r="R436" s="6"/>
      <c r="S436" s="6"/>
    </row>
    <row r="437" spans="1:19" x14ac:dyDescent="0.2">
      <c r="A437" s="1749"/>
      <c r="B437" s="1749"/>
      <c r="C437" s="1748"/>
      <c r="D437" s="1748"/>
      <c r="E437" s="1748"/>
      <c r="F437" s="1748"/>
      <c r="G437" s="1748"/>
      <c r="H437" s="1748"/>
      <c r="I437" s="1748"/>
      <c r="J437" s="1748"/>
      <c r="K437" s="1748"/>
      <c r="L437" s="1748"/>
      <c r="M437" s="1748"/>
      <c r="N437" s="1748"/>
      <c r="O437" s="1748"/>
      <c r="P437" s="6"/>
      <c r="Q437" s="6"/>
      <c r="R437" s="6"/>
      <c r="S437" s="6"/>
    </row>
    <row r="438" spans="1:19" x14ac:dyDescent="0.2">
      <c r="A438" s="1749"/>
      <c r="B438" s="1749"/>
      <c r="C438" s="1748"/>
      <c r="D438" s="1748"/>
      <c r="E438" s="1748"/>
      <c r="F438" s="1748"/>
      <c r="G438" s="1748"/>
      <c r="H438" s="1748"/>
      <c r="I438" s="1748"/>
      <c r="J438" s="1748"/>
      <c r="K438" s="1748"/>
      <c r="L438" s="1748"/>
      <c r="M438" s="1748"/>
      <c r="N438" s="1748"/>
      <c r="O438" s="1748"/>
      <c r="P438" s="6"/>
      <c r="Q438" s="6"/>
      <c r="R438" s="6"/>
      <c r="S438" s="6"/>
    </row>
    <row r="439" spans="1:19" x14ac:dyDescent="0.2">
      <c r="A439" s="1749"/>
      <c r="B439" s="1749"/>
      <c r="C439" s="1748"/>
      <c r="D439" s="1748"/>
      <c r="E439" s="1748"/>
      <c r="F439" s="1748"/>
      <c r="G439" s="1748"/>
      <c r="H439" s="1748"/>
      <c r="I439" s="1748"/>
      <c r="J439" s="1748"/>
      <c r="K439" s="1748"/>
      <c r="L439" s="1748"/>
      <c r="M439" s="1748"/>
      <c r="N439" s="1748"/>
      <c r="O439" s="1748"/>
      <c r="P439" s="6"/>
      <c r="Q439" s="6"/>
      <c r="R439" s="6"/>
      <c r="S439" s="6"/>
    </row>
    <row r="440" spans="1:19" x14ac:dyDescent="0.2">
      <c r="A440" s="1749"/>
      <c r="B440" s="1749"/>
      <c r="C440" s="1748"/>
      <c r="D440" s="1748"/>
      <c r="E440" s="1748"/>
      <c r="F440" s="1748"/>
      <c r="G440" s="1748"/>
      <c r="H440" s="1748"/>
      <c r="I440" s="1748"/>
      <c r="J440" s="1748"/>
      <c r="K440" s="1748"/>
      <c r="L440" s="1748"/>
      <c r="M440" s="1748"/>
      <c r="N440" s="1748"/>
      <c r="O440" s="1748"/>
      <c r="P440" s="6"/>
      <c r="Q440" s="6"/>
      <c r="R440" s="6"/>
      <c r="S440" s="6"/>
    </row>
    <row r="441" spans="1:19" x14ac:dyDescent="0.2">
      <c r="A441" s="1749"/>
      <c r="B441" s="1749"/>
      <c r="C441" s="1748"/>
      <c r="D441" s="1748"/>
      <c r="E441" s="1748"/>
      <c r="F441" s="1748"/>
      <c r="G441" s="1748"/>
      <c r="H441" s="1748"/>
      <c r="I441" s="1748"/>
      <c r="J441" s="1748"/>
      <c r="K441" s="1748"/>
      <c r="L441" s="1748"/>
      <c r="M441" s="1748"/>
      <c r="N441" s="1748"/>
      <c r="O441" s="1748"/>
      <c r="P441" s="6"/>
      <c r="Q441" s="6"/>
      <c r="R441" s="6"/>
      <c r="S441" s="6"/>
    </row>
    <row r="442" spans="1:19" x14ac:dyDescent="0.2">
      <c r="A442" s="1749"/>
      <c r="B442" s="1749"/>
      <c r="C442" s="1748"/>
      <c r="D442" s="1748"/>
      <c r="E442" s="1748"/>
      <c r="F442" s="1748"/>
      <c r="G442" s="1748"/>
      <c r="H442" s="1748"/>
      <c r="I442" s="1748"/>
      <c r="J442" s="1748"/>
      <c r="K442" s="1748"/>
      <c r="L442" s="1748"/>
      <c r="M442" s="1748"/>
      <c r="N442" s="1748"/>
      <c r="O442" s="1748"/>
      <c r="P442" s="6"/>
      <c r="Q442" s="6"/>
      <c r="R442" s="6"/>
      <c r="S442" s="6"/>
    </row>
    <row r="443" spans="1:19" x14ac:dyDescent="0.2">
      <c r="A443" s="1749"/>
      <c r="B443" s="1749"/>
      <c r="C443" s="1748"/>
      <c r="D443" s="1748"/>
      <c r="E443" s="1748"/>
      <c r="F443" s="1748"/>
      <c r="G443" s="1748"/>
      <c r="H443" s="1748"/>
      <c r="I443" s="1748"/>
      <c r="J443" s="1748"/>
      <c r="K443" s="1748"/>
      <c r="L443" s="1748"/>
      <c r="M443" s="1748"/>
      <c r="N443" s="1748"/>
      <c r="O443" s="1748"/>
      <c r="P443" s="6"/>
      <c r="Q443" s="6"/>
      <c r="R443" s="6"/>
      <c r="S443" s="6"/>
    </row>
    <row r="444" spans="1:19" x14ac:dyDescent="0.2">
      <c r="A444" s="1749"/>
      <c r="B444" s="1749"/>
      <c r="C444" s="1748"/>
      <c r="D444" s="1748"/>
      <c r="E444" s="1748"/>
      <c r="F444" s="1748"/>
      <c r="G444" s="1748"/>
      <c r="H444" s="1748"/>
      <c r="I444" s="1748"/>
      <c r="J444" s="1748"/>
      <c r="K444" s="1748"/>
      <c r="L444" s="1748"/>
      <c r="M444" s="1748"/>
      <c r="N444" s="1748"/>
      <c r="O444" s="1748"/>
      <c r="P444" s="6"/>
      <c r="Q444" s="6"/>
      <c r="R444" s="6"/>
      <c r="S444" s="6"/>
    </row>
    <row r="445" spans="1:19" x14ac:dyDescent="0.2">
      <c r="A445" s="1749"/>
      <c r="B445" s="1749"/>
      <c r="C445" s="1748"/>
      <c r="D445" s="1748"/>
      <c r="E445" s="1748"/>
      <c r="F445" s="1748"/>
      <c r="G445" s="1748"/>
      <c r="H445" s="1748"/>
      <c r="I445" s="1748"/>
      <c r="J445" s="1748"/>
      <c r="K445" s="1748"/>
      <c r="L445" s="1748"/>
      <c r="M445" s="1748"/>
      <c r="N445" s="1748"/>
      <c r="O445" s="1748"/>
      <c r="P445" s="6"/>
      <c r="Q445" s="6"/>
      <c r="R445" s="6"/>
      <c r="S445" s="6"/>
    </row>
    <row r="446" spans="1:19" x14ac:dyDescent="0.2">
      <c r="A446" s="1749"/>
      <c r="B446" s="1749"/>
      <c r="C446" s="1748"/>
      <c r="D446" s="1748"/>
      <c r="E446" s="1748"/>
      <c r="F446" s="1748"/>
      <c r="G446" s="1748"/>
      <c r="H446" s="1748"/>
      <c r="I446" s="1748"/>
      <c r="J446" s="1748"/>
      <c r="K446" s="1748"/>
      <c r="L446" s="1748"/>
      <c r="M446" s="1748"/>
      <c r="N446" s="1748"/>
      <c r="O446" s="1748"/>
      <c r="P446" s="6"/>
      <c r="Q446" s="6"/>
      <c r="R446" s="6"/>
      <c r="S446" s="6"/>
    </row>
    <row r="447" spans="1:19" x14ac:dyDescent="0.2">
      <c r="A447" s="1749"/>
      <c r="B447" s="1749"/>
      <c r="C447" s="1748"/>
      <c r="D447" s="1748"/>
      <c r="E447" s="1748"/>
      <c r="F447" s="1748"/>
      <c r="G447" s="1748"/>
      <c r="H447" s="1748"/>
      <c r="I447" s="1748"/>
      <c r="J447" s="1748"/>
      <c r="K447" s="1748"/>
      <c r="L447" s="1748"/>
      <c r="M447" s="1748"/>
      <c r="N447" s="1748"/>
      <c r="O447" s="1748"/>
      <c r="P447" s="6"/>
      <c r="Q447" s="6"/>
      <c r="R447" s="6"/>
      <c r="S447" s="6"/>
    </row>
    <row r="448" spans="1:19" x14ac:dyDescent="0.2">
      <c r="A448" s="1749"/>
      <c r="B448" s="1749"/>
      <c r="C448" s="1748"/>
      <c r="D448" s="1748"/>
      <c r="E448" s="1748"/>
      <c r="F448" s="1748"/>
      <c r="G448" s="1748"/>
      <c r="H448" s="1748"/>
      <c r="I448" s="1748"/>
      <c r="J448" s="1748"/>
      <c r="K448" s="1748"/>
      <c r="L448" s="1748"/>
      <c r="M448" s="1748"/>
      <c r="N448" s="1748"/>
      <c r="O448" s="1748"/>
      <c r="P448" s="6"/>
      <c r="Q448" s="6"/>
      <c r="R448" s="6"/>
      <c r="S448" s="6"/>
    </row>
    <row r="449" spans="1:19" x14ac:dyDescent="0.2">
      <c r="A449" s="1749"/>
      <c r="B449" s="1749"/>
      <c r="C449" s="1748"/>
      <c r="D449" s="1748"/>
      <c r="E449" s="1748"/>
      <c r="F449" s="1748"/>
      <c r="G449" s="1748"/>
      <c r="H449" s="1748"/>
      <c r="I449" s="1748"/>
      <c r="J449" s="1748"/>
      <c r="K449" s="1748"/>
      <c r="L449" s="1748"/>
      <c r="M449" s="1748"/>
      <c r="N449" s="1748"/>
      <c r="O449" s="1748"/>
      <c r="P449" s="6"/>
      <c r="Q449" s="6"/>
      <c r="R449" s="6"/>
      <c r="S449" s="6"/>
    </row>
    <row r="450" spans="1:19" x14ac:dyDescent="0.2">
      <c r="A450" s="1749"/>
      <c r="B450" s="1749"/>
      <c r="C450" s="1748"/>
      <c r="D450" s="1748"/>
      <c r="E450" s="1748"/>
      <c r="F450" s="1748"/>
      <c r="G450" s="1748"/>
      <c r="H450" s="1748"/>
      <c r="I450" s="1748"/>
      <c r="J450" s="1748"/>
      <c r="K450" s="1748"/>
      <c r="L450" s="1748"/>
      <c r="M450" s="1748"/>
      <c r="N450" s="1748"/>
      <c r="O450" s="1748"/>
      <c r="P450" s="6"/>
      <c r="Q450" s="6"/>
      <c r="R450" s="6"/>
      <c r="S450" s="6"/>
    </row>
    <row r="451" spans="1:19" x14ac:dyDescent="0.2">
      <c r="A451" s="1749"/>
      <c r="B451" s="1749"/>
      <c r="C451" s="1748"/>
      <c r="D451" s="1748"/>
      <c r="E451" s="1748"/>
      <c r="F451" s="1748"/>
      <c r="G451" s="1748"/>
      <c r="H451" s="1748"/>
      <c r="I451" s="1748"/>
      <c r="J451" s="1748"/>
      <c r="K451" s="1748"/>
      <c r="L451" s="1748"/>
      <c r="M451" s="1748"/>
      <c r="N451" s="1748"/>
      <c r="O451" s="1748"/>
      <c r="P451" s="6"/>
      <c r="Q451" s="6"/>
      <c r="R451" s="6"/>
      <c r="S451" s="6"/>
    </row>
    <row r="452" spans="1:19" x14ac:dyDescent="0.2">
      <c r="A452" s="1749"/>
      <c r="B452" s="1749"/>
      <c r="C452" s="1748"/>
      <c r="D452" s="1748"/>
      <c r="E452" s="1748"/>
      <c r="F452" s="1748"/>
      <c r="G452" s="1748"/>
      <c r="H452" s="1748"/>
      <c r="I452" s="1748"/>
      <c r="J452" s="1748"/>
      <c r="K452" s="1748"/>
      <c r="L452" s="1748"/>
      <c r="M452" s="1748"/>
      <c r="N452" s="1748"/>
      <c r="O452" s="1748"/>
      <c r="P452" s="6"/>
      <c r="Q452" s="6"/>
      <c r="R452" s="6"/>
      <c r="S452" s="6"/>
    </row>
    <row r="453" spans="1:19" x14ac:dyDescent="0.2">
      <c r="A453" s="1749"/>
      <c r="B453" s="1749"/>
      <c r="C453" s="1748"/>
      <c r="D453" s="1748"/>
      <c r="E453" s="1748"/>
      <c r="F453" s="1748"/>
      <c r="G453" s="1748"/>
      <c r="H453" s="1748"/>
      <c r="I453" s="1748"/>
      <c r="J453" s="1748"/>
      <c r="K453" s="1748"/>
      <c r="L453" s="1748"/>
      <c r="M453" s="1748"/>
      <c r="N453" s="1748"/>
      <c r="O453" s="1748"/>
      <c r="P453" s="6"/>
      <c r="Q453" s="6"/>
      <c r="R453" s="6"/>
      <c r="S453" s="6"/>
    </row>
    <row r="454" spans="1:19" x14ac:dyDescent="0.2">
      <c r="A454" s="1749"/>
      <c r="B454" s="1749"/>
      <c r="C454" s="1748"/>
      <c r="D454" s="1748"/>
      <c r="E454" s="1748"/>
      <c r="F454" s="1748"/>
      <c r="G454" s="1748"/>
      <c r="H454" s="1748"/>
      <c r="I454" s="1748"/>
      <c r="J454" s="1748"/>
      <c r="K454" s="1748"/>
      <c r="L454" s="1748"/>
      <c r="M454" s="1748"/>
      <c r="N454" s="1748"/>
      <c r="O454" s="1748"/>
      <c r="P454" s="6"/>
      <c r="Q454" s="6"/>
      <c r="R454" s="6"/>
      <c r="S454" s="6"/>
    </row>
    <row r="455" spans="1:19" x14ac:dyDescent="0.2">
      <c r="A455" s="1749"/>
      <c r="B455" s="1749"/>
      <c r="C455" s="1748"/>
      <c r="D455" s="1748"/>
      <c r="E455" s="1748"/>
      <c r="F455" s="1748"/>
      <c r="G455" s="1748"/>
      <c r="H455" s="1748"/>
      <c r="I455" s="1748"/>
      <c r="J455" s="1748"/>
      <c r="K455" s="1748"/>
      <c r="L455" s="1748"/>
      <c r="M455" s="1748"/>
      <c r="N455" s="1748"/>
      <c r="O455" s="1748"/>
      <c r="P455" s="6"/>
      <c r="Q455" s="6"/>
      <c r="R455" s="6"/>
      <c r="S455" s="6"/>
    </row>
    <row r="456" spans="1:19" x14ac:dyDescent="0.2">
      <c r="A456" s="1749"/>
      <c r="B456" s="1749"/>
      <c r="C456" s="1748"/>
      <c r="D456" s="1748"/>
      <c r="E456" s="1748"/>
      <c r="F456" s="1748"/>
      <c r="G456" s="1748"/>
      <c r="H456" s="1748"/>
      <c r="I456" s="1748"/>
      <c r="J456" s="1748"/>
      <c r="K456" s="1748"/>
      <c r="L456" s="1748"/>
      <c r="M456" s="1748"/>
      <c r="N456" s="1748"/>
      <c r="O456" s="1748"/>
      <c r="P456" s="6"/>
      <c r="Q456" s="6"/>
      <c r="R456" s="6"/>
      <c r="S456" s="6"/>
    </row>
    <row r="457" spans="1:19" x14ac:dyDescent="0.2">
      <c r="A457" s="1749"/>
      <c r="B457" s="1749"/>
      <c r="C457" s="1748"/>
      <c r="D457" s="1748"/>
      <c r="E457" s="1748"/>
      <c r="F457" s="1748"/>
      <c r="G457" s="1748"/>
      <c r="H457" s="1748"/>
      <c r="I457" s="1748"/>
      <c r="J457" s="1748"/>
      <c r="K457" s="1748"/>
      <c r="L457" s="1748"/>
      <c r="M457" s="1748"/>
      <c r="N457" s="1748"/>
      <c r="O457" s="1748"/>
      <c r="P457" s="6"/>
      <c r="Q457" s="6"/>
      <c r="R457" s="6"/>
      <c r="S457" s="6"/>
    </row>
    <row r="458" spans="1:19" x14ac:dyDescent="0.2">
      <c r="A458" s="1749"/>
      <c r="B458" s="1749"/>
      <c r="C458" s="1748"/>
      <c r="D458" s="1748"/>
      <c r="E458" s="1748"/>
      <c r="F458" s="1748"/>
      <c r="G458" s="1748"/>
      <c r="H458" s="1748"/>
      <c r="I458" s="1748"/>
      <c r="J458" s="1748"/>
      <c r="K458" s="1748"/>
      <c r="L458" s="1748"/>
      <c r="M458" s="1748"/>
      <c r="N458" s="1748"/>
      <c r="O458" s="1748"/>
      <c r="P458" s="6"/>
      <c r="Q458" s="6"/>
      <c r="R458" s="6"/>
      <c r="S458" s="6"/>
    </row>
    <row r="459" spans="1:19" x14ac:dyDescent="0.2">
      <c r="A459" s="1749"/>
      <c r="B459" s="1749"/>
      <c r="C459" s="1748"/>
      <c r="D459" s="1748"/>
      <c r="E459" s="1748"/>
      <c r="F459" s="1748"/>
      <c r="G459" s="1748"/>
      <c r="H459" s="1748"/>
      <c r="I459" s="1748"/>
      <c r="J459" s="1748"/>
      <c r="K459" s="1748"/>
      <c r="L459" s="1748"/>
      <c r="M459" s="1748"/>
      <c r="N459" s="1748"/>
      <c r="O459" s="1748"/>
      <c r="P459" s="6"/>
      <c r="Q459" s="6"/>
      <c r="R459" s="6"/>
      <c r="S459" s="6"/>
    </row>
    <row r="460" spans="1:19" x14ac:dyDescent="0.2">
      <c r="A460" s="1749"/>
      <c r="B460" s="1749"/>
      <c r="C460" s="1748"/>
      <c r="D460" s="1748"/>
      <c r="E460" s="1748"/>
      <c r="F460" s="1748"/>
      <c r="G460" s="1748"/>
      <c r="H460" s="1748"/>
      <c r="I460" s="1748"/>
      <c r="J460" s="1748"/>
      <c r="K460" s="1748"/>
      <c r="L460" s="1748"/>
      <c r="M460" s="1748"/>
      <c r="N460" s="1748"/>
      <c r="O460" s="1748"/>
      <c r="P460" s="6"/>
      <c r="Q460" s="6"/>
      <c r="R460" s="6"/>
      <c r="S460" s="6"/>
    </row>
    <row r="461" spans="1:19" x14ac:dyDescent="0.2">
      <c r="A461" s="1749"/>
      <c r="B461" s="1749"/>
      <c r="C461" s="1748"/>
      <c r="D461" s="1748"/>
      <c r="E461" s="1748"/>
      <c r="F461" s="1748"/>
      <c r="G461" s="1748"/>
      <c r="H461" s="1748"/>
      <c r="I461" s="1748"/>
      <c r="J461" s="1748"/>
      <c r="K461" s="1748"/>
      <c r="L461" s="1748"/>
      <c r="M461" s="1748"/>
      <c r="N461" s="1748"/>
      <c r="O461" s="1748"/>
      <c r="P461" s="6"/>
      <c r="Q461" s="6"/>
      <c r="R461" s="6"/>
      <c r="S461" s="6"/>
    </row>
    <row r="462" spans="1:19" x14ac:dyDescent="0.2">
      <c r="A462" s="1749"/>
      <c r="B462" s="1749"/>
      <c r="C462" s="1748"/>
      <c r="D462" s="1748"/>
      <c r="E462" s="1748"/>
      <c r="F462" s="1748"/>
      <c r="G462" s="1748"/>
      <c r="H462" s="1748"/>
      <c r="I462" s="1748"/>
      <c r="J462" s="1748"/>
      <c r="K462" s="1748"/>
      <c r="L462" s="1748"/>
      <c r="M462" s="1748"/>
      <c r="N462" s="1748"/>
      <c r="O462" s="1748"/>
      <c r="P462" s="6"/>
      <c r="Q462" s="6"/>
      <c r="R462" s="6"/>
      <c r="S462" s="6"/>
    </row>
    <row r="463" spans="1:19" x14ac:dyDescent="0.2">
      <c r="A463" s="1749"/>
      <c r="B463" s="1749"/>
      <c r="C463" s="1748"/>
      <c r="D463" s="1748"/>
      <c r="E463" s="1748"/>
      <c r="F463" s="1748"/>
      <c r="G463" s="1748"/>
      <c r="H463" s="1748"/>
      <c r="I463" s="1748"/>
      <c r="J463" s="1748"/>
      <c r="K463" s="1748"/>
      <c r="L463" s="1748"/>
      <c r="M463" s="1748"/>
      <c r="N463" s="1748"/>
      <c r="O463" s="1748"/>
      <c r="P463" s="6"/>
      <c r="Q463" s="6"/>
      <c r="R463" s="6"/>
      <c r="S463" s="6"/>
    </row>
    <row r="464" spans="1:19" x14ac:dyDescent="0.2">
      <c r="A464" s="1749"/>
      <c r="B464" s="1749"/>
      <c r="C464" s="1748"/>
      <c r="D464" s="1748"/>
      <c r="E464" s="1748"/>
      <c r="F464" s="1748"/>
      <c r="G464" s="1748"/>
      <c r="H464" s="1748"/>
      <c r="I464" s="1748"/>
      <c r="J464" s="1748"/>
      <c r="K464" s="1748"/>
      <c r="L464" s="1748"/>
      <c r="M464" s="1748"/>
      <c r="N464" s="1748"/>
      <c r="O464" s="1748"/>
      <c r="P464" s="6"/>
      <c r="Q464" s="6"/>
      <c r="R464" s="6"/>
      <c r="S464" s="6"/>
    </row>
    <row r="465" spans="1:19" x14ac:dyDescent="0.2">
      <c r="A465" s="1749"/>
      <c r="B465" s="1749"/>
      <c r="C465" s="1748"/>
      <c r="D465" s="1748"/>
      <c r="E465" s="1748"/>
      <c r="F465" s="1748"/>
      <c r="G465" s="1748"/>
      <c r="H465" s="1748"/>
      <c r="I465" s="1748"/>
      <c r="J465" s="1748"/>
      <c r="K465" s="1748"/>
      <c r="L465" s="1748"/>
      <c r="M465" s="1748"/>
      <c r="N465" s="1748"/>
      <c r="O465" s="1748"/>
      <c r="P465" s="6"/>
      <c r="Q465" s="6"/>
      <c r="R465" s="6"/>
      <c r="S465" s="6"/>
    </row>
    <row r="466" spans="1:19" x14ac:dyDescent="0.2">
      <c r="A466" s="1749"/>
      <c r="B466" s="1749"/>
      <c r="C466" s="1748"/>
      <c r="D466" s="1748"/>
      <c r="E466" s="1748"/>
      <c r="F466" s="1748"/>
      <c r="G466" s="1748"/>
      <c r="H466" s="1748"/>
      <c r="I466" s="1748"/>
      <c r="J466" s="1748"/>
      <c r="K466" s="1748"/>
      <c r="L466" s="1748"/>
      <c r="M466" s="1748"/>
      <c r="N466" s="1748"/>
      <c r="O466" s="1748"/>
      <c r="P466" s="6"/>
      <c r="Q466" s="6"/>
      <c r="R466" s="6"/>
      <c r="S466" s="6"/>
    </row>
    <row r="467" spans="1:19" x14ac:dyDescent="0.2">
      <c r="A467" s="1749"/>
      <c r="B467" s="1749"/>
      <c r="C467" s="1748"/>
      <c r="D467" s="1748"/>
      <c r="E467" s="1748"/>
      <c r="F467" s="1748"/>
      <c r="G467" s="1748"/>
      <c r="H467" s="1748"/>
      <c r="I467" s="1748"/>
      <c r="J467" s="1748"/>
      <c r="K467" s="1748"/>
      <c r="L467" s="1748"/>
      <c r="M467" s="1748"/>
      <c r="N467" s="1748"/>
      <c r="O467" s="1748"/>
      <c r="P467" s="6"/>
      <c r="Q467" s="6"/>
      <c r="R467" s="6"/>
      <c r="S467" s="6"/>
    </row>
    <row r="468" spans="1:19" x14ac:dyDescent="0.2">
      <c r="A468" s="1749"/>
      <c r="B468" s="1749"/>
      <c r="C468" s="1748"/>
      <c r="D468" s="1748"/>
      <c r="E468" s="1748"/>
      <c r="F468" s="1748"/>
      <c r="G468" s="1748"/>
      <c r="H468" s="1748"/>
      <c r="I468" s="1748"/>
      <c r="J468" s="1748"/>
      <c r="K468" s="1748"/>
      <c r="L468" s="1748"/>
      <c r="M468" s="1748"/>
      <c r="N468" s="1748"/>
      <c r="O468" s="1748"/>
      <c r="P468" s="6"/>
      <c r="Q468" s="6"/>
      <c r="R468" s="6"/>
      <c r="S468" s="6"/>
    </row>
    <row r="469" spans="1:19" x14ac:dyDescent="0.2">
      <c r="A469" s="1749"/>
      <c r="B469" s="1749"/>
      <c r="C469" s="1748"/>
      <c r="D469" s="1748"/>
      <c r="E469" s="1748"/>
      <c r="F469" s="1748"/>
      <c r="G469" s="1748"/>
      <c r="H469" s="1748"/>
      <c r="I469" s="1748"/>
      <c r="J469" s="1748"/>
      <c r="K469" s="1748"/>
      <c r="L469" s="1748"/>
      <c r="M469" s="1748"/>
      <c r="N469" s="1748"/>
      <c r="O469" s="1748"/>
      <c r="P469" s="6"/>
      <c r="Q469" s="6"/>
      <c r="R469" s="6"/>
      <c r="S469" s="6"/>
    </row>
    <row r="470" spans="1:19" x14ac:dyDescent="0.2">
      <c r="A470" s="1749"/>
      <c r="B470" s="1749"/>
      <c r="C470" s="1748"/>
      <c r="D470" s="1748"/>
      <c r="E470" s="1748"/>
      <c r="F470" s="1748"/>
      <c r="G470" s="1748"/>
      <c r="H470" s="1748"/>
      <c r="I470" s="1748"/>
      <c r="J470" s="1748"/>
      <c r="K470" s="1748"/>
      <c r="L470" s="1748"/>
      <c r="M470" s="1748"/>
      <c r="N470" s="1748"/>
      <c r="O470" s="1748"/>
      <c r="P470" s="6"/>
      <c r="Q470" s="6"/>
      <c r="R470" s="6"/>
      <c r="S470" s="6"/>
    </row>
    <row r="471" spans="1:19" x14ac:dyDescent="0.2">
      <c r="A471" s="1749"/>
      <c r="B471" s="1749"/>
      <c r="C471" s="1748"/>
      <c r="D471" s="1748"/>
      <c r="E471" s="1748"/>
      <c r="F471" s="1748"/>
      <c r="G471" s="1748"/>
      <c r="H471" s="1748"/>
      <c r="I471" s="1748"/>
      <c r="J471" s="1748"/>
      <c r="K471" s="1748"/>
      <c r="L471" s="1748"/>
      <c r="M471" s="1748"/>
      <c r="N471" s="1748"/>
      <c r="O471" s="1748"/>
      <c r="P471" s="6"/>
      <c r="Q471" s="6"/>
      <c r="R471" s="6"/>
      <c r="S471" s="6"/>
    </row>
    <row r="472" spans="1:19" x14ac:dyDescent="0.2">
      <c r="A472" s="1749"/>
      <c r="B472" s="1749"/>
      <c r="C472" s="1748"/>
      <c r="D472" s="1748"/>
      <c r="E472" s="1748"/>
      <c r="F472" s="1748"/>
      <c r="G472" s="1748"/>
      <c r="H472" s="1748"/>
      <c r="I472" s="1748"/>
      <c r="J472" s="1748"/>
      <c r="K472" s="1748"/>
      <c r="L472" s="1748"/>
      <c r="M472" s="1748"/>
      <c r="N472" s="1748"/>
      <c r="O472" s="1748"/>
      <c r="P472" s="6"/>
      <c r="Q472" s="6"/>
      <c r="R472" s="6"/>
      <c r="S472" s="6"/>
    </row>
    <row r="473" spans="1:19" x14ac:dyDescent="0.2">
      <c r="A473" s="1749"/>
      <c r="B473" s="1749"/>
      <c r="C473" s="1748"/>
      <c r="D473" s="1748"/>
      <c r="E473" s="1748"/>
      <c r="F473" s="1748"/>
      <c r="G473" s="1748"/>
      <c r="H473" s="1748"/>
      <c r="I473" s="1748"/>
      <c r="J473" s="1748"/>
      <c r="K473" s="1748"/>
      <c r="L473" s="1748"/>
      <c r="M473" s="1748"/>
      <c r="N473" s="1748"/>
      <c r="O473" s="1748"/>
      <c r="P473" s="6"/>
      <c r="Q473" s="6"/>
      <c r="R473" s="6"/>
      <c r="S473" s="6"/>
    </row>
    <row r="474" spans="1:19" x14ac:dyDescent="0.2">
      <c r="A474" s="1749"/>
      <c r="B474" s="1749"/>
      <c r="C474" s="1748"/>
      <c r="D474" s="1748"/>
      <c r="E474" s="1748"/>
      <c r="F474" s="1748"/>
      <c r="G474" s="1748"/>
      <c r="H474" s="1748"/>
      <c r="I474" s="1748"/>
      <c r="J474" s="1748"/>
      <c r="K474" s="1748"/>
      <c r="L474" s="1748"/>
      <c r="M474" s="1748"/>
      <c r="N474" s="1748"/>
      <c r="O474" s="1748"/>
      <c r="P474" s="6"/>
      <c r="Q474" s="6"/>
      <c r="R474" s="6"/>
      <c r="S474" s="6"/>
    </row>
    <row r="475" spans="1:19" x14ac:dyDescent="0.2">
      <c r="A475" s="1749"/>
      <c r="B475" s="1749"/>
      <c r="C475" s="1748"/>
      <c r="D475" s="1748"/>
      <c r="E475" s="1748"/>
      <c r="F475" s="1748"/>
      <c r="G475" s="1748"/>
      <c r="H475" s="1748"/>
      <c r="I475" s="1748"/>
      <c r="J475" s="1748"/>
      <c r="K475" s="1748"/>
      <c r="L475" s="1748"/>
      <c r="M475" s="1748"/>
      <c r="N475" s="1748"/>
      <c r="O475" s="1748"/>
      <c r="P475" s="6"/>
      <c r="Q475" s="6"/>
      <c r="R475" s="6"/>
      <c r="S475" s="6"/>
    </row>
    <row r="476" spans="1:19" x14ac:dyDescent="0.2">
      <c r="A476" s="1749"/>
      <c r="B476" s="1749"/>
      <c r="C476" s="1748"/>
      <c r="D476" s="1748"/>
      <c r="E476" s="1748"/>
      <c r="F476" s="1748"/>
      <c r="G476" s="1748"/>
      <c r="H476" s="1748"/>
      <c r="I476" s="1748"/>
      <c r="J476" s="1748"/>
      <c r="K476" s="1748"/>
      <c r="L476" s="1748"/>
      <c r="M476" s="1748"/>
      <c r="N476" s="1748"/>
      <c r="O476" s="1748"/>
      <c r="P476" s="6"/>
      <c r="Q476" s="6"/>
      <c r="R476" s="6"/>
      <c r="S476" s="6"/>
    </row>
    <row r="477" spans="1:19" x14ac:dyDescent="0.2">
      <c r="A477" s="1749"/>
      <c r="B477" s="1749"/>
      <c r="C477" s="1748"/>
      <c r="D477" s="1748"/>
      <c r="E477" s="1748"/>
      <c r="F477" s="1748"/>
      <c r="G477" s="1748"/>
      <c r="H477" s="1748"/>
      <c r="I477" s="1748"/>
      <c r="J477" s="1748"/>
      <c r="K477" s="1748"/>
      <c r="L477" s="1748"/>
      <c r="M477" s="1748"/>
      <c r="N477" s="1748"/>
      <c r="O477" s="1748"/>
      <c r="P477" s="6"/>
      <c r="Q477" s="6"/>
      <c r="R477" s="6"/>
      <c r="S477" s="6"/>
    </row>
    <row r="478" spans="1:19" x14ac:dyDescent="0.2">
      <c r="A478" s="1749"/>
      <c r="B478" s="1749"/>
      <c r="C478" s="1748"/>
      <c r="D478" s="1748"/>
      <c r="E478" s="1748"/>
      <c r="F478" s="1748"/>
      <c r="G478" s="1748"/>
      <c r="H478" s="1748"/>
      <c r="I478" s="1748"/>
      <c r="J478" s="1748"/>
      <c r="K478" s="1748"/>
      <c r="L478" s="1748"/>
      <c r="M478" s="1748"/>
      <c r="N478" s="1748"/>
      <c r="O478" s="1748"/>
      <c r="P478" s="6"/>
      <c r="Q478" s="6"/>
      <c r="R478" s="6"/>
      <c r="S478" s="6"/>
    </row>
    <row r="479" spans="1:19" x14ac:dyDescent="0.2">
      <c r="A479" s="1749"/>
      <c r="B479" s="1749"/>
      <c r="C479" s="1748"/>
      <c r="D479" s="1748"/>
      <c r="E479" s="1748"/>
      <c r="F479" s="1748"/>
      <c r="G479" s="1748"/>
      <c r="H479" s="1748"/>
      <c r="I479" s="1748"/>
      <c r="J479" s="1748"/>
      <c r="K479" s="1748"/>
      <c r="L479" s="1748"/>
      <c r="M479" s="1748"/>
      <c r="N479" s="1748"/>
      <c r="O479" s="1748"/>
      <c r="P479" s="6"/>
      <c r="Q479" s="6"/>
      <c r="R479" s="6"/>
      <c r="S479" s="6"/>
    </row>
    <row r="480" spans="1:19" x14ac:dyDescent="0.2">
      <c r="A480" s="1749"/>
      <c r="B480" s="1749"/>
      <c r="C480" s="1748"/>
      <c r="D480" s="1748"/>
      <c r="E480" s="1748"/>
      <c r="F480" s="1748"/>
      <c r="G480" s="1748"/>
      <c r="H480" s="1748"/>
      <c r="I480" s="1748"/>
      <c r="J480" s="1748"/>
      <c r="K480" s="1748"/>
      <c r="L480" s="1748"/>
      <c r="M480" s="1748"/>
      <c r="N480" s="1748"/>
      <c r="O480" s="1748"/>
      <c r="P480" s="6"/>
      <c r="Q480" s="6"/>
      <c r="R480" s="6"/>
      <c r="S480" s="6"/>
    </row>
    <row r="481" spans="1:19" x14ac:dyDescent="0.2">
      <c r="A481" s="1749"/>
      <c r="B481" s="1749"/>
      <c r="C481" s="1748"/>
      <c r="D481" s="1748"/>
      <c r="E481" s="1748"/>
      <c r="F481" s="1748"/>
      <c r="G481" s="1748"/>
      <c r="H481" s="1748"/>
      <c r="I481" s="1748"/>
      <c r="J481" s="1748"/>
      <c r="K481" s="1748"/>
      <c r="L481" s="1748"/>
      <c r="M481" s="1748"/>
      <c r="N481" s="1748"/>
      <c r="O481" s="1748"/>
      <c r="P481" s="6"/>
      <c r="Q481" s="6"/>
      <c r="R481" s="6"/>
      <c r="S481" s="6"/>
    </row>
    <row r="482" spans="1:19" x14ac:dyDescent="0.2">
      <c r="A482" s="1749"/>
      <c r="B482" s="1749"/>
      <c r="C482" s="1748"/>
      <c r="D482" s="1748"/>
      <c r="E482" s="1748"/>
      <c r="F482" s="1748"/>
      <c r="G482" s="1748"/>
      <c r="H482" s="1748"/>
      <c r="I482" s="1748"/>
      <c r="J482" s="1748"/>
      <c r="K482" s="1748"/>
      <c r="L482" s="1748"/>
      <c r="M482" s="1748"/>
      <c r="N482" s="1748"/>
      <c r="O482" s="1748"/>
      <c r="P482" s="6"/>
      <c r="Q482" s="6"/>
      <c r="R482" s="6"/>
      <c r="S482" s="6"/>
    </row>
    <row r="483" spans="1:19" x14ac:dyDescent="0.2">
      <c r="A483" s="1749"/>
      <c r="B483" s="1749"/>
      <c r="C483" s="1748"/>
      <c r="D483" s="1748"/>
      <c r="E483" s="1748"/>
      <c r="F483" s="1748"/>
      <c r="G483" s="1748"/>
      <c r="H483" s="1748"/>
      <c r="I483" s="1748"/>
      <c r="J483" s="1748"/>
      <c r="K483" s="1748"/>
      <c r="L483" s="1748"/>
      <c r="M483" s="1748"/>
      <c r="N483" s="1748"/>
      <c r="O483" s="1748"/>
      <c r="P483" s="6"/>
      <c r="Q483" s="6"/>
      <c r="R483" s="6"/>
      <c r="S483" s="6"/>
    </row>
    <row r="484" spans="1:19" x14ac:dyDescent="0.2">
      <c r="A484" s="1749"/>
      <c r="B484" s="1749"/>
      <c r="C484" s="1748"/>
      <c r="D484" s="1748"/>
      <c r="E484" s="1748"/>
      <c r="F484" s="1748"/>
      <c r="G484" s="1748"/>
      <c r="H484" s="1748"/>
      <c r="I484" s="1748"/>
      <c r="J484" s="1748"/>
      <c r="K484" s="1748"/>
      <c r="L484" s="1748"/>
      <c r="M484" s="1748"/>
      <c r="N484" s="1748"/>
      <c r="O484" s="1748"/>
      <c r="P484" s="6"/>
      <c r="Q484" s="6"/>
      <c r="R484" s="6"/>
      <c r="S484" s="6"/>
    </row>
    <row r="485" spans="1:19" x14ac:dyDescent="0.2">
      <c r="A485" s="1749"/>
      <c r="B485" s="1749"/>
      <c r="C485" s="1748"/>
      <c r="D485" s="1748"/>
      <c r="E485" s="1748"/>
      <c r="F485" s="1748"/>
      <c r="G485" s="1748"/>
      <c r="H485" s="1748"/>
      <c r="I485" s="1748"/>
      <c r="J485" s="1748"/>
      <c r="K485" s="1748"/>
      <c r="L485" s="1748"/>
      <c r="M485" s="1748"/>
      <c r="N485" s="1748"/>
      <c r="O485" s="1748"/>
      <c r="P485" s="6"/>
      <c r="Q485" s="6"/>
      <c r="R485" s="6"/>
      <c r="S485" s="6"/>
    </row>
    <row r="486" spans="1:19" x14ac:dyDescent="0.2">
      <c r="A486" s="1749"/>
      <c r="B486" s="1749"/>
      <c r="C486" s="1748"/>
      <c r="D486" s="1748"/>
      <c r="E486" s="1748"/>
      <c r="F486" s="1748"/>
      <c r="G486" s="1748"/>
      <c r="H486" s="1748"/>
      <c r="I486" s="1748"/>
      <c r="J486" s="1748"/>
      <c r="K486" s="1748"/>
      <c r="L486" s="1748"/>
      <c r="M486" s="1748"/>
      <c r="N486" s="1748"/>
      <c r="O486" s="1748"/>
      <c r="P486" s="6"/>
      <c r="Q486" s="6"/>
      <c r="R486" s="6"/>
      <c r="S486" s="6"/>
    </row>
    <row r="487" spans="1:19" x14ac:dyDescent="0.2">
      <c r="A487" s="1749"/>
      <c r="B487" s="1749"/>
      <c r="C487" s="1748"/>
      <c r="D487" s="1748"/>
      <c r="E487" s="1748"/>
      <c r="F487" s="1748"/>
      <c r="G487" s="1748"/>
      <c r="H487" s="1748"/>
      <c r="I487" s="1748"/>
      <c r="J487" s="1748"/>
      <c r="K487" s="1748"/>
      <c r="L487" s="1748"/>
      <c r="M487" s="1748"/>
      <c r="N487" s="1748"/>
      <c r="O487" s="1748"/>
      <c r="P487" s="6"/>
      <c r="Q487" s="6"/>
      <c r="R487" s="6"/>
      <c r="S487" s="6"/>
    </row>
    <row r="488" spans="1:19" x14ac:dyDescent="0.2">
      <c r="A488" s="1749"/>
      <c r="B488" s="1749"/>
      <c r="C488" s="1748"/>
      <c r="D488" s="1748"/>
      <c r="E488" s="1748"/>
      <c r="F488" s="1748"/>
      <c r="G488" s="1748"/>
      <c r="H488" s="1748"/>
      <c r="I488" s="1748"/>
      <c r="J488" s="1748"/>
      <c r="K488" s="1748"/>
      <c r="L488" s="1748"/>
      <c r="M488" s="1748"/>
      <c r="N488" s="1748"/>
      <c r="O488" s="1748"/>
      <c r="P488" s="6"/>
      <c r="Q488" s="6"/>
      <c r="R488" s="6"/>
      <c r="S488" s="6"/>
    </row>
    <row r="489" spans="1:19" x14ac:dyDescent="0.2">
      <c r="A489" s="1749"/>
      <c r="B489" s="1749"/>
      <c r="C489" s="1748"/>
      <c r="D489" s="1748"/>
      <c r="E489" s="1748"/>
      <c r="F489" s="1748"/>
      <c r="G489" s="1748"/>
      <c r="H489" s="1748"/>
      <c r="I489" s="1748"/>
      <c r="J489" s="1748"/>
      <c r="K489" s="1748"/>
      <c r="L489" s="1748"/>
      <c r="M489" s="1748"/>
      <c r="N489" s="1748"/>
      <c r="O489" s="1748"/>
      <c r="P489" s="6"/>
      <c r="Q489" s="6"/>
      <c r="R489" s="6"/>
      <c r="S489" s="6"/>
    </row>
    <row r="490" spans="1:19" x14ac:dyDescent="0.2">
      <c r="A490" s="1749"/>
      <c r="B490" s="1749"/>
      <c r="C490" s="1748"/>
      <c r="D490" s="1748"/>
      <c r="E490" s="1748"/>
      <c r="F490" s="1748"/>
      <c r="G490" s="1748"/>
      <c r="H490" s="1748"/>
      <c r="I490" s="1748"/>
      <c r="J490" s="1748"/>
      <c r="K490" s="1748"/>
      <c r="L490" s="1748"/>
      <c r="M490" s="1748"/>
      <c r="N490" s="1748"/>
      <c r="O490" s="1748"/>
      <c r="P490" s="6"/>
      <c r="Q490" s="6"/>
      <c r="R490" s="6"/>
      <c r="S490" s="6"/>
    </row>
    <row r="491" spans="1:19" x14ac:dyDescent="0.2">
      <c r="A491" s="1749"/>
      <c r="B491" s="1749"/>
      <c r="C491" s="1748"/>
      <c r="D491" s="1748"/>
      <c r="E491" s="1748"/>
      <c r="F491" s="1748"/>
      <c r="G491" s="1748"/>
      <c r="H491" s="1748"/>
      <c r="I491" s="1748"/>
      <c r="J491" s="1748"/>
      <c r="K491" s="1748"/>
      <c r="L491" s="1748"/>
      <c r="M491" s="1748"/>
      <c r="N491" s="1748"/>
      <c r="O491" s="1748"/>
      <c r="P491" s="6"/>
      <c r="Q491" s="6"/>
      <c r="R491" s="6"/>
      <c r="S491" s="6"/>
    </row>
    <row r="492" spans="1:19" x14ac:dyDescent="0.2">
      <c r="A492" s="1749"/>
      <c r="B492" s="1749"/>
      <c r="C492" s="1748"/>
      <c r="D492" s="1748"/>
      <c r="E492" s="1748"/>
      <c r="F492" s="1748"/>
      <c r="G492" s="1748"/>
      <c r="H492" s="1748"/>
      <c r="I492" s="1748"/>
      <c r="J492" s="1748"/>
      <c r="K492" s="1748"/>
      <c r="L492" s="1748"/>
      <c r="M492" s="1748"/>
      <c r="N492" s="1748"/>
      <c r="O492" s="1748"/>
      <c r="P492" s="6"/>
      <c r="Q492" s="6"/>
      <c r="R492" s="6"/>
      <c r="S492" s="6"/>
    </row>
    <row r="493" spans="1:19" x14ac:dyDescent="0.2">
      <c r="A493" s="1749"/>
      <c r="B493" s="1749"/>
      <c r="C493" s="1748"/>
      <c r="D493" s="1748"/>
      <c r="E493" s="1748"/>
      <c r="F493" s="1748"/>
      <c r="G493" s="1748"/>
      <c r="H493" s="1748"/>
      <c r="I493" s="1748"/>
      <c r="J493" s="1748"/>
      <c r="K493" s="1748"/>
      <c r="L493" s="1748"/>
      <c r="M493" s="1748"/>
      <c r="N493" s="1748"/>
      <c r="O493" s="1748"/>
      <c r="P493" s="6"/>
      <c r="Q493" s="6"/>
      <c r="R493" s="6"/>
      <c r="S493" s="6"/>
    </row>
    <row r="494" spans="1:19" x14ac:dyDescent="0.2">
      <c r="A494" s="1749"/>
      <c r="B494" s="1749"/>
      <c r="C494" s="1748"/>
      <c r="D494" s="1748"/>
      <c r="E494" s="1748"/>
      <c r="F494" s="1748"/>
      <c r="G494" s="1748"/>
      <c r="H494" s="1748"/>
      <c r="I494" s="1748"/>
      <c r="J494" s="1748"/>
      <c r="K494" s="1748"/>
      <c r="L494" s="1748"/>
      <c r="M494" s="1748"/>
      <c r="N494" s="1748"/>
      <c r="O494" s="1748"/>
      <c r="P494" s="6"/>
      <c r="Q494" s="6"/>
      <c r="R494" s="6"/>
      <c r="S494" s="6"/>
    </row>
    <row r="495" spans="1:19" x14ac:dyDescent="0.2">
      <c r="A495" s="1749"/>
      <c r="B495" s="1749"/>
      <c r="C495" s="1748"/>
      <c r="D495" s="1748"/>
      <c r="E495" s="1748"/>
      <c r="F495" s="1748"/>
      <c r="G495" s="1748"/>
      <c r="H495" s="1748"/>
      <c r="I495" s="1748"/>
      <c r="J495" s="1748"/>
      <c r="K495" s="1748"/>
      <c r="L495" s="1748"/>
      <c r="M495" s="1748"/>
      <c r="N495" s="1748"/>
      <c r="O495" s="1748"/>
      <c r="P495" s="6"/>
      <c r="Q495" s="6"/>
      <c r="R495" s="6"/>
      <c r="S495" s="6"/>
    </row>
    <row r="496" spans="1:19" x14ac:dyDescent="0.2">
      <c r="A496" s="1749"/>
      <c r="B496" s="1749"/>
      <c r="C496" s="1748"/>
      <c r="D496" s="1748"/>
      <c r="E496" s="1748"/>
      <c r="F496" s="1748"/>
      <c r="G496" s="1748"/>
      <c r="H496" s="1748"/>
      <c r="I496" s="1748"/>
      <c r="J496" s="1748"/>
      <c r="K496" s="1748"/>
      <c r="L496" s="1748"/>
      <c r="M496" s="1748"/>
      <c r="N496" s="1748"/>
      <c r="O496" s="1748"/>
      <c r="P496" s="6"/>
      <c r="Q496" s="6"/>
      <c r="R496" s="6"/>
      <c r="S496" s="6"/>
    </row>
    <row r="497" spans="1:19" x14ac:dyDescent="0.2">
      <c r="A497" s="1749"/>
      <c r="B497" s="1749"/>
      <c r="C497" s="1748"/>
      <c r="D497" s="1748"/>
      <c r="E497" s="1748"/>
      <c r="F497" s="1748"/>
      <c r="G497" s="1748"/>
      <c r="H497" s="1748"/>
      <c r="I497" s="1748"/>
      <c r="J497" s="1748"/>
      <c r="K497" s="1748"/>
      <c r="L497" s="1748"/>
      <c r="M497" s="1748"/>
      <c r="N497" s="1748"/>
      <c r="O497" s="1748"/>
      <c r="P497" s="6"/>
      <c r="Q497" s="6"/>
      <c r="R497" s="6"/>
      <c r="S497" s="6"/>
    </row>
    <row r="498" spans="1:19" x14ac:dyDescent="0.2">
      <c r="A498" s="1749"/>
      <c r="B498" s="1749"/>
      <c r="C498" s="1748"/>
      <c r="D498" s="1748"/>
      <c r="E498" s="1748"/>
      <c r="F498" s="1748"/>
      <c r="G498" s="1748"/>
      <c r="H498" s="1748"/>
      <c r="I498" s="1748"/>
      <c r="J498" s="1748"/>
      <c r="K498" s="1748"/>
      <c r="L498" s="1748"/>
      <c r="M498" s="1748"/>
      <c r="N498" s="1748"/>
      <c r="O498" s="1748"/>
      <c r="P498" s="6"/>
      <c r="Q498" s="6"/>
      <c r="R498" s="6"/>
      <c r="S498" s="6"/>
    </row>
    <row r="499" spans="1:19" x14ac:dyDescent="0.2">
      <c r="A499" s="1749"/>
      <c r="B499" s="1749"/>
      <c r="C499" s="1748"/>
      <c r="D499" s="1748"/>
      <c r="E499" s="1748"/>
      <c r="F499" s="1748"/>
      <c r="G499" s="1748"/>
      <c r="H499" s="1748"/>
      <c r="I499" s="1748"/>
      <c r="J499" s="1748"/>
      <c r="K499" s="1748"/>
      <c r="L499" s="1748"/>
      <c r="M499" s="1748"/>
      <c r="N499" s="1748"/>
      <c r="O499" s="1748"/>
      <c r="P499" s="6"/>
      <c r="Q499" s="6"/>
      <c r="R499" s="6"/>
      <c r="S499" s="6"/>
    </row>
    <row r="500" spans="1:19" x14ac:dyDescent="0.2">
      <c r="A500" s="1749"/>
      <c r="B500" s="1749"/>
      <c r="C500" s="1748"/>
      <c r="D500" s="1748"/>
      <c r="E500" s="1748"/>
      <c r="F500" s="1748"/>
      <c r="G500" s="1748"/>
      <c r="H500" s="1748"/>
      <c r="I500" s="1748"/>
      <c r="J500" s="1748"/>
      <c r="K500" s="1748"/>
      <c r="L500" s="1748"/>
      <c r="M500" s="1748"/>
      <c r="N500" s="1748"/>
      <c r="O500" s="1748"/>
      <c r="P500" s="6"/>
      <c r="Q500" s="6"/>
      <c r="R500" s="6"/>
      <c r="S500" s="6"/>
    </row>
    <row r="501" spans="1:19" x14ac:dyDescent="0.2">
      <c r="A501" s="1749"/>
      <c r="B501" s="1749"/>
      <c r="C501" s="1748"/>
      <c r="D501" s="1748"/>
      <c r="E501" s="1748"/>
      <c r="F501" s="1748"/>
      <c r="G501" s="1748"/>
      <c r="H501" s="1748"/>
      <c r="I501" s="1748"/>
      <c r="J501" s="1748"/>
      <c r="K501" s="1748"/>
      <c r="L501" s="1748"/>
      <c r="M501" s="1748"/>
      <c r="N501" s="1748"/>
      <c r="O501" s="1748"/>
      <c r="P501" s="6"/>
      <c r="Q501" s="6"/>
      <c r="R501" s="6"/>
      <c r="S501" s="6"/>
    </row>
    <row r="502" spans="1:19" x14ac:dyDescent="0.2">
      <c r="A502" s="1749"/>
      <c r="B502" s="1749"/>
      <c r="C502" s="1748"/>
      <c r="D502" s="1748"/>
      <c r="E502" s="1748"/>
      <c r="F502" s="1748"/>
      <c r="G502" s="1748"/>
      <c r="H502" s="1748"/>
      <c r="I502" s="1748"/>
      <c r="J502" s="1748"/>
      <c r="K502" s="1748"/>
      <c r="L502" s="1748"/>
      <c r="M502" s="1748"/>
      <c r="N502" s="1748"/>
      <c r="O502" s="1748"/>
      <c r="P502" s="6"/>
      <c r="Q502" s="6"/>
      <c r="R502" s="6"/>
      <c r="S502" s="6"/>
    </row>
    <row r="503" spans="1:19" x14ac:dyDescent="0.2">
      <c r="A503" s="1749"/>
      <c r="B503" s="1749"/>
      <c r="C503" s="1748"/>
      <c r="D503" s="1748"/>
      <c r="E503" s="1748"/>
      <c r="F503" s="1748"/>
      <c r="G503" s="1748"/>
      <c r="H503" s="1748"/>
      <c r="I503" s="1748"/>
      <c r="J503" s="1748"/>
      <c r="K503" s="1748"/>
      <c r="L503" s="1748"/>
      <c r="M503" s="1748"/>
      <c r="N503" s="1748"/>
      <c r="O503" s="1748"/>
      <c r="P503" s="6"/>
      <c r="Q503" s="6"/>
      <c r="R503" s="6"/>
      <c r="S503" s="6"/>
    </row>
    <row r="504" spans="1:19" x14ac:dyDescent="0.2">
      <c r="A504" s="1749"/>
      <c r="B504" s="1749"/>
      <c r="C504" s="1748"/>
      <c r="D504" s="1748"/>
      <c r="E504" s="1748"/>
      <c r="F504" s="1748"/>
      <c r="G504" s="1748"/>
      <c r="H504" s="1748"/>
      <c r="I504" s="1748"/>
      <c r="J504" s="1748"/>
      <c r="K504" s="1748"/>
      <c r="L504" s="1748"/>
      <c r="M504" s="1748"/>
      <c r="N504" s="1748"/>
      <c r="O504" s="1748"/>
      <c r="P504" s="6"/>
      <c r="Q504" s="6"/>
      <c r="R504" s="6"/>
      <c r="S504" s="6"/>
    </row>
    <row r="505" spans="1:19" x14ac:dyDescent="0.2">
      <c r="A505" s="1749"/>
      <c r="B505" s="1749"/>
      <c r="C505" s="1748"/>
      <c r="D505" s="1748"/>
      <c r="E505" s="1748"/>
      <c r="F505" s="1748"/>
      <c r="G505" s="1748"/>
      <c r="H505" s="1748"/>
      <c r="I505" s="1748"/>
      <c r="J505" s="1748"/>
      <c r="K505" s="1748"/>
      <c r="L505" s="1748"/>
      <c r="M505" s="1748"/>
      <c r="N505" s="1748"/>
      <c r="O505" s="1748"/>
      <c r="P505" s="6"/>
      <c r="Q505" s="6"/>
      <c r="R505" s="6"/>
      <c r="S505" s="6"/>
    </row>
    <row r="506" spans="1:19" x14ac:dyDescent="0.2">
      <c r="A506" s="1749"/>
      <c r="B506" s="1749"/>
      <c r="C506" s="1748"/>
      <c r="D506" s="1748"/>
      <c r="E506" s="1748"/>
      <c r="F506" s="1748"/>
      <c r="G506" s="1748"/>
      <c r="H506" s="1748"/>
      <c r="I506" s="1748"/>
      <c r="J506" s="1748"/>
      <c r="K506" s="1748"/>
      <c r="L506" s="1748"/>
      <c r="M506" s="1748"/>
      <c r="N506" s="1748"/>
      <c r="O506" s="1748"/>
      <c r="P506" s="6"/>
      <c r="Q506" s="6"/>
      <c r="R506" s="6"/>
      <c r="S506" s="6"/>
    </row>
    <row r="507" spans="1:19" x14ac:dyDescent="0.2">
      <c r="A507" s="1749"/>
      <c r="B507" s="1749"/>
      <c r="C507" s="1748"/>
      <c r="D507" s="1748"/>
      <c r="E507" s="1748"/>
      <c r="F507" s="1748"/>
      <c r="G507" s="1748"/>
      <c r="H507" s="1748"/>
      <c r="I507" s="1748"/>
      <c r="J507" s="1748"/>
      <c r="K507" s="1748"/>
      <c r="L507" s="1748"/>
      <c r="M507" s="1748"/>
      <c r="N507" s="1748"/>
      <c r="O507" s="1748"/>
      <c r="P507" s="6"/>
      <c r="Q507" s="6"/>
      <c r="R507" s="6"/>
      <c r="S507" s="6"/>
    </row>
    <row r="508" spans="1:19" x14ac:dyDescent="0.2">
      <c r="A508" s="1749"/>
      <c r="B508" s="1749"/>
      <c r="C508" s="1748"/>
      <c r="D508" s="1748"/>
      <c r="E508" s="1748"/>
      <c r="F508" s="1748"/>
      <c r="G508" s="1748"/>
      <c r="H508" s="1748"/>
      <c r="I508" s="1748"/>
      <c r="J508" s="1748"/>
      <c r="K508" s="1748"/>
      <c r="L508" s="1748"/>
      <c r="M508" s="1748"/>
      <c r="N508" s="1748"/>
      <c r="O508" s="1748"/>
      <c r="P508" s="6"/>
      <c r="Q508" s="6"/>
      <c r="R508" s="6"/>
      <c r="S508" s="6"/>
    </row>
    <row r="509" spans="1:19" x14ac:dyDescent="0.2">
      <c r="A509" s="1749"/>
      <c r="B509" s="1749"/>
      <c r="C509" s="1748"/>
      <c r="D509" s="1748"/>
      <c r="E509" s="1748"/>
      <c r="F509" s="1748"/>
      <c r="G509" s="1748"/>
      <c r="H509" s="1748"/>
      <c r="I509" s="1748"/>
      <c r="J509" s="1748"/>
      <c r="K509" s="1748"/>
      <c r="L509" s="1748"/>
      <c r="M509" s="1748"/>
      <c r="N509" s="1748"/>
      <c r="O509" s="1748"/>
      <c r="P509" s="6"/>
      <c r="Q509" s="6"/>
      <c r="R509" s="6"/>
      <c r="S509" s="6"/>
    </row>
    <row r="510" spans="1:19" x14ac:dyDescent="0.2">
      <c r="A510" s="1749"/>
      <c r="B510" s="1749"/>
      <c r="C510" s="1748"/>
      <c r="D510" s="1748"/>
      <c r="E510" s="1748"/>
      <c r="F510" s="1748"/>
      <c r="G510" s="1748"/>
      <c r="H510" s="1748"/>
      <c r="I510" s="1748"/>
      <c r="J510" s="1748"/>
      <c r="K510" s="1748"/>
      <c r="L510" s="1748"/>
      <c r="M510" s="1748"/>
      <c r="N510" s="1748"/>
      <c r="O510" s="1748"/>
      <c r="P510" s="6"/>
      <c r="Q510" s="6"/>
      <c r="R510" s="6"/>
      <c r="S510" s="6"/>
    </row>
    <row r="511" spans="1:19" x14ac:dyDescent="0.2">
      <c r="A511" s="1749"/>
      <c r="B511" s="1749"/>
      <c r="C511" s="1748"/>
      <c r="D511" s="1748"/>
      <c r="E511" s="1748"/>
      <c r="F511" s="1748"/>
      <c r="G511" s="1748"/>
      <c r="H511" s="1748"/>
      <c r="I511" s="1748"/>
      <c r="J511" s="1748"/>
      <c r="K511" s="1748"/>
      <c r="L511" s="1748"/>
      <c r="M511" s="1748"/>
      <c r="N511" s="1748"/>
      <c r="O511" s="1748"/>
      <c r="P511" s="6"/>
      <c r="Q511" s="6"/>
      <c r="R511" s="6"/>
      <c r="S511" s="6"/>
    </row>
    <row r="512" spans="1:19" x14ac:dyDescent="0.2">
      <c r="A512" s="1749"/>
      <c r="B512" s="1749"/>
      <c r="C512" s="1748"/>
      <c r="D512" s="1748"/>
      <c r="E512" s="1748"/>
      <c r="F512" s="1748"/>
      <c r="G512" s="1748"/>
      <c r="H512" s="1748"/>
      <c r="I512" s="1748"/>
      <c r="J512" s="1748"/>
      <c r="K512" s="1748"/>
      <c r="L512" s="1748"/>
      <c r="M512" s="1748"/>
      <c r="N512" s="1748"/>
      <c r="O512" s="1748"/>
      <c r="P512" s="6"/>
      <c r="Q512" s="6"/>
      <c r="R512" s="6"/>
      <c r="S512" s="6"/>
    </row>
    <row r="513" spans="1:19" x14ac:dyDescent="0.2">
      <c r="A513" s="1749"/>
      <c r="B513" s="1749"/>
      <c r="C513" s="1748"/>
      <c r="D513" s="1748"/>
      <c r="E513" s="1748"/>
      <c r="F513" s="1748"/>
      <c r="G513" s="1748"/>
      <c r="H513" s="1748"/>
      <c r="I513" s="1748"/>
      <c r="J513" s="1748"/>
      <c r="K513" s="1748"/>
      <c r="L513" s="1748"/>
      <c r="M513" s="1748"/>
      <c r="N513" s="1748"/>
      <c r="O513" s="1748"/>
      <c r="P513" s="6"/>
      <c r="Q513" s="6"/>
      <c r="R513" s="6"/>
      <c r="S513" s="6"/>
    </row>
    <row r="514" spans="1:19" x14ac:dyDescent="0.2">
      <c r="A514" s="1749"/>
      <c r="B514" s="1749"/>
      <c r="C514" s="1748"/>
      <c r="D514" s="1748"/>
      <c r="E514" s="1748"/>
      <c r="F514" s="1748"/>
      <c r="G514" s="1748"/>
      <c r="H514" s="1748"/>
      <c r="I514" s="1748"/>
      <c r="J514" s="1748"/>
      <c r="K514" s="1748"/>
      <c r="L514" s="1748"/>
      <c r="M514" s="1748"/>
      <c r="N514" s="1748"/>
      <c r="O514" s="1748"/>
      <c r="P514" s="6"/>
      <c r="Q514" s="6"/>
      <c r="R514" s="6"/>
      <c r="S514" s="6"/>
    </row>
    <row r="515" spans="1:19" x14ac:dyDescent="0.2">
      <c r="A515" s="1749"/>
      <c r="B515" s="1749"/>
      <c r="C515" s="1748"/>
      <c r="D515" s="1748"/>
      <c r="E515" s="1748"/>
      <c r="F515" s="1748"/>
      <c r="G515" s="1748"/>
      <c r="H515" s="1748"/>
      <c r="I515" s="1748"/>
      <c r="J515" s="1748"/>
      <c r="K515" s="1748"/>
      <c r="L515" s="1748"/>
      <c r="M515" s="1748"/>
      <c r="N515" s="1748"/>
      <c r="O515" s="1748"/>
      <c r="P515" s="6"/>
      <c r="Q515" s="6"/>
      <c r="R515" s="6"/>
      <c r="S515" s="6"/>
    </row>
    <row r="516" spans="1:19" x14ac:dyDescent="0.2">
      <c r="A516" s="1749"/>
      <c r="B516" s="1749"/>
      <c r="C516" s="1748"/>
      <c r="D516" s="1748"/>
      <c r="E516" s="1748"/>
      <c r="F516" s="1748"/>
      <c r="G516" s="1748"/>
      <c r="H516" s="1748"/>
      <c r="I516" s="1748"/>
      <c r="J516" s="1748"/>
      <c r="K516" s="1748"/>
      <c r="L516" s="1748"/>
      <c r="M516" s="1748"/>
      <c r="N516" s="1748"/>
      <c r="O516" s="1748"/>
      <c r="P516" s="6"/>
      <c r="Q516" s="6"/>
      <c r="R516" s="6"/>
      <c r="S516" s="6"/>
    </row>
    <row r="517" spans="1:19" x14ac:dyDescent="0.2">
      <c r="A517" s="1749"/>
      <c r="B517" s="1749"/>
      <c r="C517" s="1748"/>
      <c r="D517" s="1748"/>
      <c r="E517" s="1748"/>
      <c r="F517" s="1748"/>
      <c r="G517" s="1748"/>
      <c r="H517" s="1748"/>
      <c r="I517" s="1748"/>
      <c r="J517" s="1748"/>
      <c r="K517" s="1748"/>
      <c r="L517" s="1748"/>
      <c r="M517" s="1748"/>
      <c r="N517" s="1748"/>
      <c r="O517" s="1748"/>
      <c r="P517" s="6"/>
      <c r="Q517" s="6"/>
      <c r="R517" s="6"/>
      <c r="S517" s="6"/>
    </row>
    <row r="518" spans="1:19" x14ac:dyDescent="0.2">
      <c r="A518" s="1749"/>
      <c r="B518" s="1749"/>
      <c r="C518" s="1748"/>
      <c r="D518" s="1748"/>
      <c r="E518" s="1748"/>
      <c r="F518" s="1748"/>
      <c r="G518" s="1748"/>
      <c r="H518" s="1748"/>
      <c r="I518" s="1748"/>
      <c r="J518" s="1748"/>
      <c r="K518" s="1748"/>
      <c r="L518" s="1748"/>
      <c r="M518" s="1748"/>
      <c r="N518" s="1748"/>
      <c r="O518" s="1748"/>
      <c r="P518" s="6"/>
      <c r="Q518" s="6"/>
      <c r="R518" s="6"/>
      <c r="S518" s="6"/>
    </row>
    <row r="519" spans="1:19" x14ac:dyDescent="0.2">
      <c r="A519" s="1749"/>
      <c r="B519" s="1749"/>
      <c r="C519" s="1748"/>
      <c r="D519" s="1748"/>
      <c r="E519" s="1748"/>
      <c r="F519" s="1748"/>
      <c r="G519" s="1748"/>
      <c r="H519" s="1748"/>
      <c r="I519" s="1748"/>
      <c r="J519" s="1748"/>
      <c r="K519" s="1748"/>
      <c r="L519" s="1748"/>
      <c r="M519" s="1748"/>
      <c r="N519" s="1748"/>
      <c r="O519" s="1748"/>
      <c r="P519" s="6"/>
      <c r="Q519" s="6"/>
      <c r="R519" s="6"/>
      <c r="S519" s="6"/>
    </row>
    <row r="520" spans="1:19" x14ac:dyDescent="0.2">
      <c r="A520" s="1749"/>
      <c r="B520" s="1749"/>
      <c r="C520" s="1748"/>
      <c r="D520" s="1748"/>
      <c r="E520" s="1748"/>
      <c r="F520" s="1748"/>
      <c r="G520" s="1748"/>
      <c r="H520" s="1748"/>
      <c r="I520" s="1748"/>
      <c r="J520" s="1748"/>
      <c r="K520" s="1748"/>
      <c r="L520" s="1748"/>
      <c r="M520" s="1748"/>
      <c r="N520" s="1748"/>
      <c r="O520" s="1748"/>
      <c r="P520" s="6"/>
      <c r="Q520" s="6"/>
      <c r="R520" s="6"/>
      <c r="S520" s="6"/>
    </row>
    <row r="521" spans="1:19" x14ac:dyDescent="0.2">
      <c r="A521" s="1749"/>
      <c r="B521" s="1749"/>
      <c r="C521" s="1748"/>
      <c r="D521" s="1748"/>
      <c r="E521" s="1748"/>
      <c r="F521" s="1748"/>
      <c r="G521" s="1748"/>
      <c r="H521" s="1748"/>
      <c r="I521" s="1748"/>
      <c r="J521" s="1748"/>
      <c r="K521" s="1748"/>
      <c r="L521" s="1748"/>
      <c r="M521" s="1748"/>
      <c r="N521" s="1748"/>
      <c r="O521" s="1748"/>
      <c r="P521" s="6"/>
      <c r="Q521" s="6"/>
      <c r="R521" s="6"/>
      <c r="S521" s="6"/>
    </row>
    <row r="522" spans="1:19" x14ac:dyDescent="0.2">
      <c r="A522" s="1749"/>
      <c r="B522" s="1749"/>
      <c r="C522" s="1748"/>
      <c r="D522" s="1748"/>
      <c r="E522" s="1748"/>
      <c r="F522" s="1748"/>
      <c r="G522" s="1748"/>
      <c r="H522" s="1748"/>
      <c r="I522" s="1748"/>
      <c r="J522" s="1748"/>
      <c r="K522" s="1748"/>
      <c r="L522" s="1748"/>
      <c r="M522" s="1748"/>
      <c r="N522" s="1748"/>
      <c r="O522" s="1748"/>
      <c r="P522" s="6"/>
      <c r="Q522" s="6"/>
      <c r="R522" s="6"/>
      <c r="S522" s="6"/>
    </row>
    <row r="523" spans="1:19" x14ac:dyDescent="0.2">
      <c r="A523" s="1749"/>
      <c r="B523" s="1749"/>
      <c r="C523" s="1748"/>
      <c r="D523" s="1748"/>
      <c r="E523" s="1748"/>
      <c r="F523" s="1748"/>
      <c r="G523" s="1748"/>
      <c r="H523" s="1748"/>
      <c r="I523" s="1748"/>
      <c r="J523" s="1748"/>
      <c r="K523" s="1748"/>
      <c r="L523" s="1748"/>
      <c r="M523" s="1748"/>
      <c r="N523" s="1748"/>
      <c r="O523" s="1748"/>
      <c r="P523" s="6"/>
      <c r="Q523" s="6"/>
      <c r="R523" s="6"/>
      <c r="S523" s="6"/>
    </row>
    <row r="524" spans="1:19" x14ac:dyDescent="0.2">
      <c r="A524" s="1749"/>
      <c r="B524" s="1749"/>
      <c r="C524" s="1748"/>
      <c r="D524" s="1748"/>
      <c r="E524" s="1748"/>
      <c r="F524" s="1748"/>
      <c r="G524" s="1748"/>
      <c r="H524" s="1748"/>
      <c r="I524" s="1748"/>
      <c r="J524" s="1748"/>
      <c r="K524" s="1748"/>
      <c r="L524" s="1748"/>
      <c r="M524" s="1748"/>
      <c r="N524" s="1748"/>
      <c r="O524" s="1748"/>
      <c r="P524" s="6"/>
      <c r="Q524" s="6"/>
      <c r="R524" s="6"/>
      <c r="S524" s="6"/>
    </row>
    <row r="525" spans="1:19" x14ac:dyDescent="0.2">
      <c r="A525" s="1749"/>
      <c r="B525" s="1749"/>
      <c r="C525" s="1748"/>
      <c r="D525" s="1748"/>
      <c r="E525" s="1748"/>
      <c r="F525" s="1748"/>
      <c r="G525" s="1748"/>
      <c r="H525" s="1748"/>
      <c r="I525" s="1748"/>
      <c r="J525" s="1748"/>
      <c r="K525" s="1748"/>
      <c r="L525" s="1748"/>
      <c r="M525" s="1748"/>
      <c r="N525" s="1748"/>
      <c r="O525" s="1748"/>
      <c r="P525" s="6"/>
      <c r="Q525" s="6"/>
      <c r="R525" s="6"/>
      <c r="S525" s="6"/>
    </row>
    <row r="526" spans="1:19" x14ac:dyDescent="0.2">
      <c r="A526" s="1749"/>
      <c r="B526" s="1749"/>
      <c r="C526" s="1748"/>
      <c r="D526" s="1748"/>
      <c r="E526" s="1748"/>
      <c r="F526" s="1748"/>
      <c r="G526" s="1748"/>
      <c r="H526" s="1748"/>
      <c r="I526" s="1748"/>
      <c r="J526" s="1748"/>
      <c r="K526" s="1748"/>
      <c r="L526" s="1748"/>
      <c r="M526" s="1748"/>
      <c r="N526" s="1748"/>
      <c r="O526" s="1748"/>
      <c r="P526" s="6"/>
      <c r="Q526" s="6"/>
      <c r="R526" s="6"/>
      <c r="S526" s="6"/>
    </row>
    <row r="527" spans="1:19" x14ac:dyDescent="0.2">
      <c r="A527" s="1749"/>
      <c r="B527" s="1749"/>
      <c r="C527" s="1748"/>
      <c r="D527" s="1748"/>
      <c r="E527" s="1748"/>
      <c r="F527" s="1748"/>
      <c r="G527" s="1748"/>
      <c r="H527" s="1748"/>
      <c r="I527" s="1748"/>
      <c r="J527" s="1748"/>
      <c r="K527" s="1748"/>
      <c r="L527" s="1748"/>
      <c r="M527" s="1748"/>
      <c r="N527" s="1748"/>
      <c r="O527" s="1748"/>
      <c r="P527" s="6"/>
      <c r="Q527" s="6"/>
      <c r="R527" s="6"/>
      <c r="S527" s="6"/>
    </row>
    <row r="528" spans="1:19" x14ac:dyDescent="0.2">
      <c r="A528" s="1749"/>
      <c r="B528" s="1749"/>
      <c r="C528" s="1748"/>
      <c r="D528" s="1748"/>
      <c r="E528" s="1748"/>
      <c r="F528" s="1748"/>
      <c r="G528" s="1748"/>
      <c r="H528" s="1748"/>
      <c r="I528" s="1748"/>
      <c r="J528" s="1748"/>
      <c r="K528" s="1748"/>
      <c r="L528" s="1748"/>
      <c r="M528" s="1748"/>
      <c r="N528" s="1748"/>
      <c r="O528" s="1748"/>
      <c r="P528" s="6"/>
      <c r="Q528" s="6"/>
      <c r="R528" s="6"/>
      <c r="S528" s="6"/>
    </row>
    <row r="529" spans="1:19" x14ac:dyDescent="0.2">
      <c r="A529" s="1749"/>
      <c r="B529" s="1749"/>
      <c r="C529" s="1748"/>
      <c r="D529" s="1748"/>
      <c r="E529" s="1748"/>
      <c r="F529" s="1748"/>
      <c r="G529" s="1748"/>
      <c r="H529" s="1748"/>
      <c r="I529" s="1748"/>
      <c r="J529" s="1748"/>
      <c r="K529" s="1748"/>
      <c r="L529" s="1748"/>
      <c r="M529" s="1748"/>
      <c r="N529" s="1748"/>
      <c r="O529" s="1748"/>
      <c r="P529" s="6"/>
      <c r="Q529" s="6"/>
      <c r="R529" s="6"/>
      <c r="S529" s="6"/>
    </row>
    <row r="530" spans="1:19" x14ac:dyDescent="0.2">
      <c r="A530" s="1749"/>
      <c r="B530" s="1749"/>
      <c r="C530" s="1748"/>
      <c r="D530" s="1748"/>
      <c r="E530" s="1748"/>
      <c r="F530" s="1748"/>
      <c r="G530" s="1748"/>
      <c r="H530" s="1748"/>
      <c r="I530" s="1748"/>
      <c r="J530" s="1748"/>
      <c r="K530" s="1748"/>
      <c r="L530" s="1748"/>
      <c r="M530" s="1748"/>
      <c r="N530" s="1748"/>
      <c r="O530" s="1748"/>
      <c r="P530" s="6"/>
      <c r="Q530" s="6"/>
      <c r="R530" s="6"/>
      <c r="S530" s="6"/>
    </row>
    <row r="531" spans="1:19" x14ac:dyDescent="0.2">
      <c r="A531" s="1749"/>
      <c r="B531" s="1749"/>
      <c r="C531" s="1748"/>
      <c r="D531" s="1748"/>
      <c r="E531" s="1748"/>
      <c r="F531" s="1748"/>
      <c r="G531" s="1748"/>
      <c r="H531" s="1748"/>
      <c r="I531" s="1748"/>
      <c r="J531" s="1748"/>
      <c r="K531" s="1748"/>
      <c r="L531" s="1748"/>
      <c r="M531" s="1748"/>
      <c r="N531" s="1748"/>
      <c r="O531" s="1748"/>
      <c r="P531" s="6"/>
      <c r="Q531" s="6"/>
      <c r="R531" s="6"/>
      <c r="S531" s="6"/>
    </row>
    <row r="532" spans="1:19" x14ac:dyDescent="0.2">
      <c r="A532" s="1749"/>
      <c r="B532" s="1749"/>
      <c r="C532" s="1748"/>
      <c r="D532" s="1748"/>
      <c r="E532" s="1748"/>
      <c r="F532" s="1748"/>
      <c r="G532" s="1748"/>
      <c r="H532" s="1748"/>
      <c r="I532" s="1748"/>
      <c r="J532" s="1748"/>
      <c r="K532" s="1748"/>
      <c r="L532" s="1748"/>
      <c r="M532" s="1748"/>
      <c r="N532" s="1748"/>
      <c r="O532" s="1748"/>
      <c r="P532" s="6"/>
      <c r="Q532" s="6"/>
      <c r="R532" s="6"/>
      <c r="S532" s="6"/>
    </row>
    <row r="533" spans="1:19" x14ac:dyDescent="0.2">
      <c r="A533" s="1749"/>
      <c r="B533" s="1749"/>
      <c r="C533" s="1748"/>
      <c r="D533" s="1748"/>
      <c r="E533" s="1748"/>
      <c r="F533" s="1748"/>
      <c r="G533" s="1748"/>
      <c r="H533" s="1748"/>
      <c r="I533" s="1748"/>
      <c r="J533" s="1748"/>
      <c r="K533" s="1748"/>
      <c r="L533" s="1748"/>
      <c r="M533" s="1748"/>
      <c r="N533" s="1748"/>
      <c r="O533" s="1748"/>
      <c r="P533" s="6"/>
      <c r="Q533" s="6"/>
      <c r="R533" s="6"/>
      <c r="S533" s="6"/>
    </row>
    <row r="534" spans="1:19" x14ac:dyDescent="0.2">
      <c r="A534" s="1749"/>
      <c r="B534" s="1749"/>
      <c r="C534" s="1748"/>
      <c r="D534" s="1748"/>
      <c r="E534" s="1748"/>
      <c r="F534" s="1748"/>
      <c r="G534" s="1748"/>
      <c r="H534" s="1748"/>
      <c r="I534" s="1748"/>
      <c r="J534" s="1748"/>
      <c r="K534" s="1748"/>
      <c r="L534" s="1748"/>
      <c r="M534" s="1748"/>
      <c r="N534" s="1748"/>
      <c r="O534" s="1748"/>
      <c r="P534" s="6"/>
      <c r="Q534" s="6"/>
      <c r="R534" s="6"/>
      <c r="S534" s="6"/>
    </row>
    <row r="535" spans="1:19" x14ac:dyDescent="0.2">
      <c r="A535" s="1749"/>
      <c r="B535" s="1749"/>
      <c r="C535" s="1748"/>
      <c r="D535" s="1748"/>
      <c r="E535" s="1748"/>
      <c r="F535" s="1748"/>
      <c r="G535" s="1748"/>
      <c r="H535" s="1748"/>
      <c r="I535" s="1748"/>
      <c r="J535" s="1748"/>
      <c r="K535" s="1748"/>
      <c r="L535" s="1748"/>
      <c r="M535" s="1748"/>
      <c r="N535" s="1748"/>
      <c r="O535" s="1748"/>
      <c r="P535" s="6"/>
      <c r="Q535" s="6"/>
      <c r="R535" s="6"/>
      <c r="S535" s="6"/>
    </row>
    <row r="536" spans="1:19" x14ac:dyDescent="0.2">
      <c r="A536" s="1749"/>
      <c r="B536" s="1749"/>
      <c r="C536" s="1748"/>
      <c r="D536" s="1748"/>
      <c r="E536" s="1748"/>
      <c r="F536" s="1748"/>
      <c r="G536" s="1748"/>
      <c r="H536" s="1748"/>
      <c r="I536" s="1748"/>
      <c r="J536" s="1748"/>
      <c r="K536" s="1748"/>
      <c r="L536" s="1748"/>
      <c r="M536" s="1748"/>
      <c r="N536" s="1748"/>
      <c r="O536" s="1748"/>
      <c r="P536" s="6"/>
      <c r="Q536" s="6"/>
      <c r="R536" s="6"/>
      <c r="S536" s="6"/>
    </row>
    <row r="537" spans="1:19" x14ac:dyDescent="0.2">
      <c r="A537" s="1749"/>
      <c r="B537" s="1749"/>
      <c r="C537" s="1748"/>
      <c r="D537" s="1748"/>
      <c r="E537" s="1748"/>
      <c r="F537" s="1748"/>
      <c r="G537" s="1748"/>
      <c r="H537" s="1748"/>
      <c r="I537" s="1748"/>
      <c r="J537" s="1748"/>
      <c r="K537" s="1748"/>
      <c r="L537" s="1748"/>
      <c r="M537" s="1748"/>
      <c r="N537" s="1748"/>
      <c r="O537" s="1748"/>
      <c r="P537" s="6"/>
      <c r="Q537" s="6"/>
      <c r="R537" s="6"/>
      <c r="S537" s="6"/>
    </row>
    <row r="538" spans="1:19" x14ac:dyDescent="0.2">
      <c r="A538" s="1749"/>
      <c r="B538" s="1749"/>
      <c r="C538" s="1748"/>
      <c r="D538" s="1748"/>
      <c r="E538" s="1748"/>
      <c r="F538" s="1748"/>
      <c r="G538" s="1748"/>
      <c r="H538" s="1748"/>
      <c r="I538" s="1748"/>
      <c r="J538" s="1748"/>
      <c r="K538" s="1748"/>
      <c r="L538" s="1748"/>
      <c r="M538" s="1748"/>
      <c r="N538" s="1748"/>
      <c r="O538" s="1748"/>
      <c r="P538" s="6"/>
      <c r="Q538" s="6"/>
      <c r="R538" s="6"/>
      <c r="S538" s="6"/>
    </row>
    <row r="539" spans="1:19" x14ac:dyDescent="0.2">
      <c r="A539" s="1749"/>
      <c r="B539" s="1749"/>
      <c r="C539" s="1748"/>
      <c r="D539" s="1748"/>
      <c r="E539" s="1748"/>
      <c r="F539" s="1748"/>
      <c r="G539" s="1748"/>
      <c r="H539" s="1748"/>
      <c r="I539" s="1748"/>
      <c r="J539" s="1748"/>
      <c r="K539" s="1748"/>
      <c r="L539" s="1748"/>
      <c r="M539" s="1748"/>
      <c r="N539" s="1748"/>
      <c r="O539" s="1748"/>
      <c r="P539" s="6"/>
      <c r="Q539" s="6"/>
      <c r="R539" s="6"/>
      <c r="S539" s="6"/>
    </row>
    <row r="540" spans="1:19" x14ac:dyDescent="0.2">
      <c r="A540" s="1749"/>
      <c r="B540" s="1749"/>
      <c r="C540" s="1748"/>
      <c r="D540" s="1748"/>
      <c r="E540" s="1748"/>
      <c r="F540" s="1748"/>
      <c r="G540" s="1748"/>
      <c r="H540" s="1748"/>
      <c r="I540" s="1748"/>
      <c r="J540" s="1748"/>
      <c r="K540" s="1748"/>
      <c r="L540" s="1748"/>
      <c r="M540" s="1748"/>
      <c r="N540" s="1748"/>
      <c r="O540" s="1748"/>
      <c r="P540" s="6"/>
      <c r="Q540" s="6"/>
      <c r="R540" s="6"/>
      <c r="S540" s="6"/>
    </row>
    <row r="541" spans="1:19" x14ac:dyDescent="0.2">
      <c r="A541" s="1749"/>
      <c r="B541" s="1749"/>
      <c r="C541" s="1748"/>
      <c r="D541" s="1748"/>
      <c r="E541" s="1748"/>
      <c r="F541" s="1748"/>
      <c r="G541" s="1748"/>
      <c r="H541" s="1748"/>
      <c r="I541" s="1748"/>
      <c r="J541" s="1748"/>
      <c r="K541" s="1748"/>
      <c r="L541" s="1748"/>
      <c r="M541" s="1748"/>
      <c r="N541" s="1748"/>
      <c r="O541" s="1748"/>
      <c r="P541" s="6"/>
      <c r="Q541" s="6"/>
      <c r="R541" s="6"/>
      <c r="S541" s="6"/>
    </row>
    <row r="542" spans="1:19" x14ac:dyDescent="0.2">
      <c r="A542" s="1749"/>
      <c r="B542" s="1749"/>
      <c r="C542" s="1748"/>
      <c r="D542" s="1748"/>
      <c r="E542" s="1748"/>
      <c r="F542" s="1748"/>
      <c r="G542" s="1748"/>
      <c r="H542" s="1748"/>
      <c r="I542" s="1748"/>
      <c r="J542" s="1748"/>
      <c r="K542" s="1748"/>
      <c r="L542" s="1748"/>
      <c r="M542" s="1748"/>
      <c r="N542" s="1748"/>
      <c r="O542" s="1748"/>
      <c r="P542" s="6"/>
      <c r="Q542" s="6"/>
      <c r="R542" s="6"/>
      <c r="S542" s="6"/>
    </row>
    <row r="543" spans="1:19" x14ac:dyDescent="0.2">
      <c r="A543" s="1749"/>
      <c r="B543" s="1749"/>
      <c r="C543" s="1748"/>
      <c r="D543" s="1748"/>
      <c r="E543" s="1748"/>
      <c r="F543" s="1748"/>
      <c r="G543" s="1748"/>
      <c r="H543" s="1748"/>
      <c r="I543" s="1748"/>
      <c r="J543" s="1748"/>
      <c r="K543" s="1748"/>
      <c r="L543" s="1748"/>
      <c r="M543" s="1748"/>
      <c r="N543" s="1748"/>
      <c r="O543" s="1748"/>
      <c r="P543" s="6"/>
      <c r="Q543" s="6"/>
      <c r="R543" s="6"/>
      <c r="S543" s="6"/>
    </row>
    <row r="544" spans="1:19" x14ac:dyDescent="0.2">
      <c r="A544" s="1749"/>
      <c r="B544" s="1749"/>
      <c r="C544" s="1748"/>
      <c r="D544" s="1748"/>
      <c r="E544" s="1748"/>
      <c r="F544" s="1748"/>
      <c r="G544" s="1748"/>
      <c r="H544" s="1748"/>
      <c r="I544" s="1748"/>
      <c r="J544" s="1748"/>
      <c r="K544" s="1748"/>
      <c r="L544" s="1748"/>
      <c r="M544" s="1748"/>
      <c r="N544" s="1748"/>
      <c r="O544" s="1748"/>
      <c r="P544" s="6"/>
      <c r="Q544" s="6"/>
      <c r="R544" s="6"/>
      <c r="S544" s="6"/>
    </row>
    <row r="545" spans="1:19" x14ac:dyDescent="0.2">
      <c r="A545" s="1749"/>
      <c r="B545" s="1749"/>
      <c r="C545" s="1748"/>
      <c r="D545" s="1748"/>
      <c r="E545" s="1748"/>
      <c r="F545" s="1748"/>
      <c r="G545" s="1748"/>
      <c r="H545" s="1748"/>
      <c r="I545" s="1748"/>
      <c r="J545" s="1748"/>
      <c r="K545" s="1748"/>
      <c r="L545" s="1748"/>
      <c r="M545" s="1748"/>
      <c r="N545" s="1748"/>
      <c r="O545" s="1748"/>
      <c r="P545" s="6"/>
      <c r="Q545" s="6"/>
      <c r="R545" s="6"/>
      <c r="S545" s="6"/>
    </row>
    <row r="546" spans="1:19" x14ac:dyDescent="0.2">
      <c r="A546" s="1749"/>
      <c r="B546" s="1749"/>
      <c r="C546" s="1748"/>
      <c r="D546" s="1748"/>
      <c r="E546" s="1748"/>
      <c r="F546" s="1748"/>
      <c r="G546" s="1748"/>
      <c r="H546" s="1748"/>
      <c r="I546" s="1748"/>
      <c r="J546" s="1748"/>
      <c r="K546" s="1748"/>
      <c r="L546" s="1748"/>
      <c r="M546" s="1748"/>
      <c r="N546" s="1748"/>
      <c r="O546" s="1748"/>
      <c r="P546" s="6"/>
      <c r="Q546" s="6"/>
      <c r="R546" s="6"/>
      <c r="S546" s="6"/>
    </row>
    <row r="547" spans="1:19" x14ac:dyDescent="0.2">
      <c r="A547" s="1749"/>
      <c r="B547" s="1749"/>
      <c r="C547" s="1748"/>
      <c r="D547" s="1748"/>
      <c r="E547" s="1748"/>
      <c r="F547" s="1748"/>
      <c r="G547" s="1748"/>
      <c r="H547" s="1748"/>
      <c r="I547" s="1748"/>
      <c r="J547" s="1748"/>
      <c r="K547" s="1748"/>
      <c r="L547" s="1748"/>
      <c r="M547" s="1748"/>
      <c r="N547" s="1748"/>
      <c r="O547" s="1748"/>
      <c r="P547" s="6"/>
      <c r="Q547" s="6"/>
      <c r="R547" s="6"/>
      <c r="S547" s="6"/>
    </row>
    <row r="548" spans="1:19" x14ac:dyDescent="0.2">
      <c r="A548" s="1749"/>
      <c r="B548" s="1749"/>
      <c r="C548" s="1748"/>
      <c r="D548" s="1748"/>
      <c r="E548" s="1748"/>
      <c r="F548" s="1748"/>
      <c r="G548" s="1748"/>
      <c r="H548" s="1748"/>
      <c r="I548" s="1748"/>
      <c r="J548" s="1748"/>
      <c r="K548" s="1748"/>
      <c r="L548" s="1748"/>
      <c r="M548" s="1748"/>
      <c r="N548" s="1748"/>
      <c r="O548" s="1748"/>
      <c r="P548" s="6"/>
      <c r="Q548" s="6"/>
      <c r="R548" s="6"/>
      <c r="S548" s="6"/>
    </row>
    <row r="549" spans="1:19" x14ac:dyDescent="0.2">
      <c r="A549" s="1749"/>
      <c r="B549" s="1749"/>
      <c r="C549" s="1748"/>
      <c r="D549" s="1748"/>
      <c r="E549" s="1748"/>
      <c r="F549" s="1748"/>
      <c r="G549" s="1748"/>
      <c r="H549" s="1748"/>
      <c r="I549" s="1748"/>
      <c r="J549" s="1748"/>
      <c r="K549" s="1748"/>
      <c r="L549" s="1748"/>
      <c r="M549" s="1748"/>
      <c r="N549" s="1748"/>
      <c r="O549" s="1748"/>
      <c r="P549" s="6"/>
      <c r="Q549" s="6"/>
      <c r="R549" s="6"/>
      <c r="S549" s="6"/>
    </row>
    <row r="550" spans="1:19" x14ac:dyDescent="0.2">
      <c r="A550" s="1749"/>
      <c r="B550" s="1749"/>
      <c r="C550" s="1748"/>
      <c r="D550" s="1748"/>
      <c r="E550" s="1748"/>
      <c r="F550" s="1748"/>
      <c r="G550" s="1748"/>
      <c r="H550" s="1748"/>
      <c r="I550" s="1748"/>
      <c r="J550" s="1748"/>
      <c r="K550" s="1748"/>
      <c r="L550" s="1748"/>
      <c r="M550" s="1748"/>
      <c r="N550" s="1748"/>
      <c r="O550" s="1748"/>
      <c r="P550" s="6"/>
      <c r="Q550" s="6"/>
      <c r="R550" s="6"/>
      <c r="S550" s="6"/>
    </row>
    <row r="551" spans="1:19" x14ac:dyDescent="0.2">
      <c r="A551" s="1749"/>
      <c r="B551" s="1749"/>
      <c r="C551" s="1748"/>
      <c r="D551" s="1748"/>
      <c r="E551" s="1748"/>
      <c r="F551" s="1748"/>
      <c r="G551" s="1748"/>
      <c r="H551" s="1748"/>
      <c r="I551" s="1748"/>
      <c r="J551" s="1748"/>
      <c r="K551" s="1748"/>
      <c r="L551" s="1748"/>
      <c r="M551" s="1748"/>
      <c r="N551" s="1748"/>
      <c r="O551" s="1748"/>
      <c r="P551" s="6"/>
      <c r="Q551" s="6"/>
      <c r="R551" s="6"/>
      <c r="S551" s="6"/>
    </row>
    <row r="552" spans="1:19" x14ac:dyDescent="0.2">
      <c r="A552" s="1749"/>
      <c r="B552" s="1749"/>
      <c r="C552" s="1748"/>
      <c r="D552" s="1748"/>
      <c r="E552" s="1748"/>
      <c r="F552" s="1748"/>
      <c r="G552" s="1748"/>
      <c r="H552" s="1748"/>
      <c r="I552" s="1748"/>
      <c r="J552" s="1748"/>
      <c r="K552" s="1748"/>
      <c r="L552" s="1748"/>
      <c r="M552" s="1748"/>
      <c r="N552" s="1748"/>
      <c r="O552" s="1748"/>
      <c r="P552" s="6"/>
      <c r="Q552" s="6"/>
      <c r="R552" s="6"/>
      <c r="S552" s="6"/>
    </row>
    <row r="553" spans="1:19" x14ac:dyDescent="0.2">
      <c r="A553" s="1749"/>
      <c r="B553" s="1749"/>
      <c r="C553" s="1748"/>
      <c r="D553" s="1748"/>
      <c r="E553" s="1748"/>
      <c r="F553" s="1748"/>
      <c r="G553" s="1748"/>
      <c r="H553" s="1748"/>
      <c r="I553" s="1748"/>
      <c r="J553" s="1748"/>
      <c r="K553" s="1748"/>
      <c r="L553" s="1748"/>
      <c r="M553" s="1748"/>
      <c r="N553" s="1748"/>
      <c r="O553" s="1748"/>
      <c r="P553" s="6"/>
      <c r="Q553" s="6"/>
      <c r="R553" s="6"/>
      <c r="S553" s="6"/>
    </row>
    <row r="554" spans="1:19" x14ac:dyDescent="0.2">
      <c r="A554" s="1749"/>
      <c r="B554" s="1749"/>
      <c r="C554" s="1748"/>
      <c r="D554" s="1748"/>
      <c r="E554" s="1748"/>
      <c r="F554" s="1748"/>
      <c r="G554" s="1748"/>
      <c r="H554" s="1748"/>
      <c r="I554" s="1748"/>
      <c r="J554" s="1748"/>
      <c r="K554" s="1748"/>
      <c r="L554" s="1748"/>
      <c r="M554" s="1748"/>
      <c r="N554" s="1748"/>
      <c r="O554" s="1748"/>
      <c r="P554" s="6"/>
      <c r="Q554" s="6"/>
      <c r="R554" s="6"/>
      <c r="S554" s="6"/>
    </row>
    <row r="555" spans="1:19" x14ac:dyDescent="0.2">
      <c r="A555" s="1749"/>
      <c r="B555" s="1749"/>
      <c r="C555" s="1748"/>
      <c r="D555" s="1748"/>
      <c r="E555" s="1748"/>
      <c r="F555" s="1748"/>
      <c r="G555" s="1748"/>
      <c r="H555" s="1748"/>
      <c r="I555" s="1748"/>
      <c r="J555" s="1748"/>
      <c r="K555" s="1748"/>
      <c r="L555" s="1748"/>
      <c r="M555" s="1748"/>
      <c r="N555" s="1748"/>
      <c r="O555" s="1748"/>
      <c r="P555" s="6"/>
      <c r="Q555" s="6"/>
      <c r="R555" s="6"/>
      <c r="S555" s="6"/>
    </row>
    <row r="556" spans="1:19" x14ac:dyDescent="0.2">
      <c r="A556" s="1749"/>
      <c r="B556" s="1749"/>
      <c r="C556" s="1748"/>
      <c r="D556" s="1748"/>
      <c r="E556" s="1748"/>
      <c r="F556" s="1748"/>
      <c r="G556" s="1748"/>
      <c r="H556" s="1748"/>
      <c r="I556" s="1748"/>
      <c r="J556" s="1748"/>
      <c r="K556" s="1748"/>
      <c r="L556" s="1748"/>
      <c r="M556" s="1748"/>
      <c r="N556" s="1748"/>
      <c r="O556" s="1748"/>
      <c r="P556" s="6"/>
      <c r="Q556" s="6"/>
      <c r="R556" s="6"/>
      <c r="S556" s="6"/>
    </row>
    <row r="557" spans="1:19" x14ac:dyDescent="0.2">
      <c r="A557" s="1749"/>
      <c r="B557" s="1749"/>
      <c r="C557" s="1748"/>
      <c r="D557" s="1748"/>
      <c r="E557" s="1748"/>
      <c r="F557" s="1748"/>
      <c r="G557" s="1748"/>
      <c r="H557" s="1748"/>
      <c r="I557" s="1748"/>
      <c r="J557" s="1748"/>
      <c r="K557" s="1748"/>
      <c r="L557" s="1748"/>
      <c r="M557" s="1748"/>
      <c r="N557" s="1748"/>
      <c r="O557" s="1748"/>
      <c r="P557" s="6"/>
      <c r="Q557" s="6"/>
      <c r="R557" s="6"/>
      <c r="S557" s="6"/>
    </row>
    <row r="558" spans="1:19" x14ac:dyDescent="0.2">
      <c r="A558" s="1749"/>
      <c r="B558" s="1749"/>
      <c r="C558" s="1748"/>
      <c r="D558" s="1748"/>
      <c r="E558" s="1748"/>
      <c r="F558" s="1748"/>
      <c r="G558" s="1748"/>
      <c r="H558" s="1748"/>
      <c r="I558" s="1748"/>
      <c r="J558" s="1748"/>
      <c r="K558" s="1748"/>
      <c r="L558" s="1748"/>
      <c r="M558" s="1748"/>
      <c r="N558" s="1748"/>
      <c r="O558" s="1748"/>
      <c r="P558" s="6"/>
      <c r="Q558" s="6"/>
      <c r="R558" s="6"/>
      <c r="S558" s="6"/>
    </row>
    <row r="559" spans="1:19" x14ac:dyDescent="0.2">
      <c r="A559" s="1749"/>
      <c r="B559" s="1749"/>
      <c r="C559" s="1748"/>
      <c r="D559" s="1748"/>
      <c r="E559" s="1748"/>
      <c r="F559" s="1748"/>
      <c r="G559" s="1748"/>
      <c r="H559" s="1748"/>
      <c r="I559" s="1748"/>
      <c r="J559" s="1748"/>
      <c r="K559" s="1748"/>
      <c r="L559" s="1748"/>
      <c r="M559" s="1748"/>
      <c r="N559" s="1748"/>
      <c r="O559" s="1748"/>
      <c r="P559" s="6"/>
      <c r="Q559" s="6"/>
      <c r="R559" s="6"/>
      <c r="S559" s="6"/>
    </row>
    <row r="560" spans="1:19" x14ac:dyDescent="0.2">
      <c r="A560" s="1749"/>
      <c r="B560" s="1749"/>
      <c r="C560" s="1748"/>
      <c r="D560" s="1748"/>
      <c r="E560" s="1748"/>
      <c r="F560" s="1748"/>
      <c r="G560" s="1748"/>
      <c r="H560" s="1748"/>
      <c r="I560" s="1748"/>
      <c r="J560" s="1748"/>
      <c r="K560" s="1748"/>
      <c r="L560" s="1748"/>
      <c r="M560" s="1748"/>
      <c r="N560" s="1748"/>
      <c r="O560" s="1748"/>
      <c r="P560" s="6"/>
      <c r="Q560" s="6"/>
      <c r="R560" s="6"/>
      <c r="S560" s="6"/>
    </row>
    <row r="561" spans="1:19" x14ac:dyDescent="0.2">
      <c r="A561" s="1749"/>
      <c r="B561" s="1749"/>
      <c r="C561" s="1748"/>
      <c r="D561" s="1748"/>
      <c r="E561" s="1748"/>
      <c r="F561" s="1748"/>
      <c r="G561" s="1748"/>
      <c r="H561" s="1748"/>
      <c r="I561" s="1748"/>
      <c r="J561" s="1748"/>
      <c r="K561" s="1748"/>
      <c r="L561" s="1748"/>
      <c r="M561" s="1748"/>
      <c r="N561" s="1748"/>
      <c r="O561" s="1748"/>
      <c r="P561" s="6"/>
      <c r="Q561" s="6"/>
      <c r="R561" s="6"/>
      <c r="S561" s="6"/>
    </row>
    <row r="562" spans="1:19" x14ac:dyDescent="0.2">
      <c r="A562" s="1749"/>
      <c r="B562" s="1749"/>
      <c r="C562" s="1748"/>
      <c r="D562" s="1748"/>
      <c r="E562" s="1748"/>
      <c r="F562" s="1748"/>
      <c r="G562" s="1748"/>
      <c r="H562" s="1748"/>
      <c r="I562" s="1748"/>
      <c r="J562" s="1748"/>
      <c r="K562" s="1748"/>
      <c r="L562" s="1748"/>
      <c r="M562" s="1748"/>
      <c r="N562" s="1748"/>
      <c r="O562" s="1748"/>
      <c r="P562" s="6"/>
      <c r="Q562" s="6"/>
      <c r="R562" s="6"/>
      <c r="S562" s="6"/>
    </row>
    <row r="563" spans="1:19" x14ac:dyDescent="0.2">
      <c r="A563" s="1749"/>
      <c r="B563" s="1749"/>
      <c r="C563" s="1748"/>
      <c r="D563" s="1748"/>
      <c r="E563" s="1748"/>
      <c r="F563" s="1748"/>
      <c r="G563" s="1748"/>
      <c r="H563" s="1748"/>
      <c r="I563" s="1748"/>
      <c r="J563" s="1748"/>
      <c r="K563" s="1748"/>
      <c r="L563" s="1748"/>
      <c r="M563" s="1748"/>
      <c r="N563" s="1748"/>
      <c r="O563" s="1748"/>
      <c r="P563" s="6"/>
      <c r="Q563" s="6"/>
      <c r="R563" s="6"/>
      <c r="S563" s="6"/>
    </row>
    <row r="564" spans="1:19" x14ac:dyDescent="0.2">
      <c r="A564" s="1749"/>
      <c r="B564" s="1749"/>
      <c r="C564" s="1748"/>
      <c r="D564" s="1748"/>
      <c r="E564" s="1748"/>
      <c r="F564" s="1748"/>
      <c r="G564" s="1748"/>
      <c r="H564" s="1748"/>
      <c r="I564" s="1748"/>
      <c r="J564" s="1748"/>
      <c r="K564" s="1748"/>
      <c r="L564" s="1748"/>
      <c r="M564" s="1748"/>
      <c r="N564" s="1748"/>
      <c r="O564" s="1748"/>
      <c r="P564" s="6"/>
      <c r="Q564" s="6"/>
      <c r="R564" s="6"/>
      <c r="S564" s="6"/>
    </row>
    <row r="565" spans="1:19" x14ac:dyDescent="0.2">
      <c r="A565" s="1749"/>
      <c r="B565" s="1749"/>
      <c r="C565" s="1748"/>
      <c r="D565" s="1748"/>
      <c r="E565" s="1748"/>
      <c r="F565" s="1748"/>
      <c r="G565" s="1748"/>
      <c r="H565" s="1748"/>
      <c r="I565" s="1748"/>
      <c r="J565" s="1748"/>
      <c r="K565" s="1748"/>
      <c r="L565" s="1748"/>
      <c r="M565" s="1748"/>
      <c r="N565" s="1748"/>
      <c r="O565" s="1748"/>
      <c r="P565" s="6"/>
      <c r="Q565" s="6"/>
      <c r="R565" s="6"/>
      <c r="S565" s="6"/>
    </row>
    <row r="566" spans="1:19" x14ac:dyDescent="0.2">
      <c r="A566" s="1749"/>
      <c r="B566" s="1749"/>
      <c r="C566" s="1748"/>
      <c r="D566" s="1748"/>
      <c r="E566" s="1748"/>
      <c r="F566" s="1748"/>
      <c r="G566" s="1748"/>
      <c r="H566" s="1748"/>
      <c r="I566" s="1748"/>
      <c r="J566" s="1748"/>
      <c r="K566" s="1748"/>
      <c r="L566" s="1748"/>
      <c r="M566" s="1748"/>
      <c r="N566" s="1748"/>
      <c r="O566" s="1748"/>
      <c r="P566" s="6"/>
      <c r="Q566" s="6"/>
      <c r="R566" s="6"/>
      <c r="S566" s="6"/>
    </row>
    <row r="567" spans="1:19" x14ac:dyDescent="0.2">
      <c r="A567" s="1749"/>
      <c r="B567" s="1749"/>
      <c r="C567" s="1748"/>
      <c r="D567" s="1748"/>
      <c r="E567" s="1748"/>
      <c r="F567" s="1748"/>
      <c r="G567" s="1748"/>
      <c r="H567" s="1748"/>
      <c r="I567" s="1748"/>
      <c r="J567" s="1748"/>
      <c r="K567" s="1748"/>
      <c r="L567" s="1748"/>
      <c r="M567" s="1748"/>
      <c r="N567" s="1748"/>
      <c r="O567" s="1748"/>
      <c r="P567" s="6"/>
      <c r="Q567" s="6"/>
      <c r="R567" s="6"/>
      <c r="S567" s="6"/>
    </row>
    <row r="568" spans="1:19" x14ac:dyDescent="0.2">
      <c r="A568" s="1749"/>
      <c r="B568" s="1749"/>
      <c r="C568" s="1748"/>
      <c r="D568" s="1748"/>
      <c r="E568" s="1748"/>
      <c r="F568" s="1748"/>
      <c r="G568" s="1748"/>
      <c r="H568" s="1748"/>
      <c r="I568" s="1748"/>
      <c r="J568" s="1748"/>
      <c r="K568" s="1748"/>
      <c r="L568" s="1748"/>
      <c r="M568" s="1748"/>
      <c r="N568" s="1748"/>
      <c r="O568" s="1748"/>
      <c r="P568" s="6"/>
      <c r="Q568" s="6"/>
      <c r="R568" s="6"/>
      <c r="S568" s="6"/>
    </row>
    <row r="569" spans="1:19" x14ac:dyDescent="0.2">
      <c r="A569" s="1749"/>
      <c r="B569" s="1749"/>
      <c r="C569" s="1748"/>
      <c r="D569" s="1748"/>
      <c r="E569" s="1748"/>
      <c r="F569" s="1748"/>
      <c r="G569" s="1748"/>
      <c r="H569" s="1748"/>
      <c r="I569" s="1748"/>
      <c r="J569" s="1748"/>
      <c r="K569" s="1748"/>
      <c r="L569" s="1748"/>
      <c r="M569" s="1748"/>
      <c r="N569" s="1748"/>
      <c r="O569" s="1748"/>
      <c r="P569" s="6"/>
      <c r="Q569" s="6"/>
      <c r="R569" s="6"/>
      <c r="S569" s="6"/>
    </row>
    <row r="570" spans="1:19" x14ac:dyDescent="0.2">
      <c r="A570" s="1749"/>
      <c r="B570" s="1749"/>
      <c r="C570" s="1748"/>
      <c r="D570" s="1748"/>
      <c r="E570" s="1748"/>
      <c r="F570" s="1748"/>
      <c r="G570" s="1748"/>
      <c r="H570" s="1748"/>
      <c r="I570" s="1748"/>
      <c r="J570" s="1748"/>
      <c r="K570" s="1748"/>
      <c r="L570" s="1748"/>
      <c r="M570" s="1748"/>
      <c r="N570" s="1748"/>
      <c r="O570" s="1748"/>
      <c r="P570" s="6"/>
      <c r="Q570" s="6"/>
      <c r="R570" s="6"/>
      <c r="S570" s="6"/>
    </row>
    <row r="571" spans="1:19" x14ac:dyDescent="0.2">
      <c r="A571" s="1749"/>
      <c r="B571" s="1749"/>
      <c r="C571" s="1748"/>
      <c r="D571" s="1748"/>
      <c r="E571" s="1748"/>
      <c r="F571" s="1748"/>
      <c r="G571" s="1748"/>
      <c r="H571" s="1748"/>
      <c r="I571" s="1748"/>
      <c r="J571" s="1748"/>
      <c r="K571" s="1748"/>
      <c r="L571" s="1748"/>
      <c r="M571" s="1748"/>
      <c r="N571" s="1748"/>
      <c r="O571" s="1748"/>
      <c r="P571" s="6"/>
      <c r="Q571" s="6"/>
      <c r="R571" s="6"/>
      <c r="S571" s="6"/>
    </row>
    <row r="572" spans="1:19" x14ac:dyDescent="0.2">
      <c r="A572" s="1749"/>
      <c r="B572" s="1749"/>
      <c r="C572" s="1748"/>
      <c r="D572" s="1748"/>
      <c r="E572" s="1748"/>
      <c r="F572" s="1748"/>
      <c r="G572" s="1748"/>
      <c r="H572" s="1748"/>
      <c r="I572" s="1748"/>
      <c r="J572" s="1748"/>
      <c r="K572" s="1748"/>
      <c r="L572" s="1748"/>
      <c r="M572" s="1748"/>
      <c r="N572" s="1748"/>
      <c r="O572" s="1748"/>
      <c r="P572" s="6"/>
      <c r="Q572" s="6"/>
      <c r="R572" s="6"/>
      <c r="S572" s="6"/>
    </row>
    <row r="573" spans="1:19" x14ac:dyDescent="0.2">
      <c r="A573" s="1749"/>
      <c r="B573" s="1749"/>
      <c r="C573" s="1748"/>
      <c r="D573" s="1748"/>
      <c r="E573" s="1748"/>
      <c r="F573" s="1748"/>
      <c r="G573" s="1748"/>
      <c r="H573" s="1748"/>
      <c r="I573" s="1748"/>
      <c r="J573" s="1748"/>
      <c r="K573" s="1748"/>
      <c r="L573" s="1748"/>
      <c r="M573" s="1748"/>
      <c r="N573" s="1748"/>
      <c r="O573" s="1748"/>
      <c r="P573" s="6"/>
      <c r="Q573" s="6"/>
      <c r="R573" s="6"/>
      <c r="S573" s="6"/>
    </row>
    <row r="574" spans="1:19" x14ac:dyDescent="0.2">
      <c r="A574" s="1749"/>
      <c r="B574" s="1749"/>
      <c r="C574" s="1748"/>
      <c r="D574" s="1748"/>
      <c r="E574" s="1748"/>
      <c r="F574" s="1748"/>
      <c r="G574" s="1748"/>
      <c r="H574" s="1748"/>
      <c r="I574" s="1748"/>
      <c r="J574" s="1748"/>
      <c r="K574" s="1748"/>
      <c r="L574" s="1748"/>
      <c r="M574" s="1748"/>
      <c r="N574" s="1748"/>
      <c r="O574" s="1748"/>
      <c r="P574" s="6"/>
      <c r="Q574" s="6"/>
      <c r="R574" s="6"/>
      <c r="S574" s="6"/>
    </row>
    <row r="575" spans="1:19" x14ac:dyDescent="0.2">
      <c r="A575" s="1749"/>
      <c r="B575" s="1749"/>
      <c r="C575" s="1748"/>
      <c r="D575" s="1748"/>
      <c r="E575" s="1748"/>
      <c r="F575" s="1748"/>
      <c r="G575" s="1748"/>
      <c r="H575" s="1748"/>
      <c r="I575" s="1748"/>
      <c r="J575" s="1748"/>
      <c r="K575" s="1748"/>
      <c r="L575" s="1748"/>
      <c r="M575" s="1748"/>
      <c r="N575" s="1748"/>
      <c r="O575" s="1748"/>
      <c r="P575" s="6"/>
      <c r="Q575" s="6"/>
      <c r="R575" s="6"/>
      <c r="S575" s="6"/>
    </row>
    <row r="576" spans="1:19" x14ac:dyDescent="0.2">
      <c r="A576" s="1749"/>
      <c r="B576" s="1749"/>
      <c r="C576" s="1748"/>
      <c r="D576" s="1748"/>
      <c r="E576" s="1748"/>
      <c r="F576" s="1748"/>
      <c r="G576" s="1748"/>
      <c r="H576" s="1748"/>
      <c r="I576" s="1748"/>
      <c r="J576" s="1748"/>
      <c r="K576" s="1748"/>
      <c r="L576" s="1748"/>
      <c r="M576" s="1748"/>
      <c r="N576" s="1748"/>
      <c r="O576" s="1748"/>
      <c r="P576" s="6"/>
      <c r="Q576" s="6"/>
      <c r="R576" s="6"/>
      <c r="S576" s="6"/>
    </row>
    <row r="577" spans="1:19" x14ac:dyDescent="0.2">
      <c r="A577" s="1749"/>
      <c r="B577" s="1749"/>
      <c r="C577" s="1748"/>
      <c r="D577" s="1748"/>
      <c r="E577" s="1748"/>
      <c r="F577" s="1748"/>
      <c r="G577" s="1748"/>
      <c r="H577" s="1748"/>
      <c r="I577" s="1748"/>
      <c r="J577" s="1748"/>
      <c r="K577" s="1748"/>
      <c r="L577" s="1748"/>
      <c r="M577" s="1748"/>
      <c r="N577" s="1748"/>
      <c r="O577" s="1748"/>
      <c r="P577" s="6"/>
      <c r="Q577" s="6"/>
      <c r="R577" s="6"/>
      <c r="S577" s="6"/>
    </row>
    <row r="578" spans="1:19" x14ac:dyDescent="0.2">
      <c r="A578" s="1749"/>
      <c r="B578" s="1749"/>
      <c r="C578" s="1748"/>
      <c r="D578" s="1748"/>
      <c r="E578" s="1748"/>
      <c r="F578" s="1748"/>
      <c r="G578" s="1748"/>
      <c r="H578" s="1748"/>
      <c r="I578" s="1748"/>
      <c r="J578" s="1748"/>
      <c r="K578" s="1748"/>
      <c r="L578" s="1748"/>
      <c r="M578" s="1748"/>
      <c r="N578" s="1748"/>
      <c r="O578" s="1748"/>
      <c r="P578" s="6"/>
      <c r="Q578" s="6"/>
      <c r="R578" s="6"/>
      <c r="S578" s="6"/>
    </row>
    <row r="579" spans="1:19" x14ac:dyDescent="0.2">
      <c r="A579" s="1749"/>
      <c r="B579" s="1749"/>
      <c r="C579" s="1748"/>
      <c r="D579" s="1748"/>
      <c r="E579" s="1748"/>
      <c r="F579" s="1748"/>
      <c r="G579" s="1748"/>
      <c r="H579" s="1748"/>
      <c r="I579" s="1748"/>
      <c r="J579" s="1748"/>
      <c r="K579" s="1748"/>
      <c r="L579" s="1748"/>
      <c r="M579" s="1748"/>
      <c r="N579" s="1748"/>
      <c r="O579" s="1748"/>
      <c r="P579" s="6"/>
      <c r="Q579" s="6"/>
      <c r="R579" s="6"/>
      <c r="S579" s="6"/>
    </row>
    <row r="580" spans="1:19" x14ac:dyDescent="0.2">
      <c r="A580" s="1749"/>
      <c r="B580" s="1749"/>
      <c r="C580" s="1748"/>
      <c r="D580" s="1748"/>
      <c r="E580" s="1748"/>
      <c r="F580" s="1748"/>
      <c r="G580" s="1748"/>
      <c r="H580" s="1748"/>
      <c r="I580" s="1748"/>
      <c r="J580" s="1748"/>
      <c r="K580" s="1748"/>
      <c r="L580" s="1748"/>
      <c r="M580" s="1748"/>
      <c r="N580" s="1748"/>
      <c r="O580" s="1748"/>
      <c r="P580" s="6"/>
      <c r="Q580" s="6"/>
      <c r="R580" s="6"/>
      <c r="S580" s="6"/>
    </row>
    <row r="581" spans="1:19" x14ac:dyDescent="0.2">
      <c r="A581" s="1749"/>
      <c r="B581" s="1749"/>
      <c r="C581" s="1748"/>
      <c r="D581" s="1748"/>
      <c r="E581" s="1748"/>
      <c r="F581" s="1748"/>
      <c r="G581" s="1748"/>
      <c r="H581" s="1748"/>
      <c r="I581" s="1748"/>
      <c r="J581" s="1748"/>
      <c r="K581" s="1748"/>
      <c r="L581" s="1748"/>
      <c r="M581" s="1748"/>
      <c r="N581" s="1748"/>
      <c r="O581" s="1748"/>
      <c r="P581" s="6"/>
      <c r="Q581" s="6"/>
      <c r="R581" s="6"/>
      <c r="S581" s="6"/>
    </row>
    <row r="582" spans="1:19" x14ac:dyDescent="0.2">
      <c r="A582" s="1749"/>
      <c r="B582" s="1749"/>
      <c r="C582" s="1748"/>
      <c r="D582" s="1748"/>
      <c r="E582" s="1748"/>
      <c r="F582" s="1748"/>
      <c r="G582" s="1748"/>
      <c r="H582" s="1748"/>
      <c r="I582" s="1748"/>
      <c r="J582" s="1748"/>
      <c r="K582" s="1748"/>
      <c r="L582" s="1748"/>
      <c r="M582" s="1748"/>
      <c r="N582" s="1748"/>
      <c r="O582" s="1748"/>
      <c r="P582" s="6"/>
      <c r="Q582" s="6"/>
      <c r="R582" s="6"/>
      <c r="S582" s="6"/>
    </row>
    <row r="583" spans="1:19" x14ac:dyDescent="0.2">
      <c r="A583" s="1749"/>
      <c r="B583" s="1749"/>
      <c r="C583" s="1748"/>
      <c r="D583" s="1748"/>
      <c r="E583" s="1748"/>
      <c r="F583" s="1748"/>
      <c r="G583" s="1748"/>
      <c r="H583" s="1748"/>
      <c r="I583" s="1748"/>
      <c r="J583" s="1748"/>
      <c r="K583" s="1748"/>
      <c r="L583" s="1748"/>
      <c r="M583" s="1748"/>
      <c r="N583" s="1748"/>
      <c r="O583" s="1748"/>
      <c r="P583" s="6"/>
      <c r="Q583" s="6"/>
      <c r="R583" s="6"/>
      <c r="S583" s="6"/>
    </row>
    <row r="584" spans="1:19" x14ac:dyDescent="0.2">
      <c r="A584" s="1749"/>
      <c r="B584" s="1749"/>
      <c r="C584" s="1748"/>
      <c r="D584" s="1748"/>
      <c r="E584" s="1748"/>
      <c r="F584" s="1748"/>
      <c r="G584" s="1748"/>
      <c r="H584" s="1748"/>
      <c r="I584" s="1748"/>
      <c r="J584" s="1748"/>
      <c r="K584" s="1748"/>
      <c r="L584" s="1748"/>
      <c r="M584" s="1748"/>
      <c r="N584" s="1748"/>
      <c r="O584" s="1748"/>
      <c r="P584" s="6"/>
      <c r="Q584" s="6"/>
      <c r="R584" s="6"/>
      <c r="S584" s="6"/>
    </row>
    <row r="585" spans="1:19" x14ac:dyDescent="0.2">
      <c r="A585" s="1749"/>
      <c r="B585" s="1749"/>
      <c r="C585" s="1748"/>
      <c r="D585" s="1748"/>
      <c r="E585" s="1748"/>
      <c r="F585" s="1748"/>
      <c r="G585" s="1748"/>
      <c r="H585" s="1748"/>
      <c r="I585" s="1748"/>
      <c r="J585" s="1748"/>
      <c r="K585" s="1748"/>
      <c r="L585" s="1748"/>
      <c r="M585" s="1748"/>
      <c r="N585" s="1748"/>
      <c r="O585" s="1748"/>
      <c r="P585" s="6"/>
      <c r="Q585" s="6"/>
      <c r="R585" s="6"/>
      <c r="S585" s="6"/>
    </row>
    <row r="586" spans="1:19" x14ac:dyDescent="0.2">
      <c r="A586" s="1749"/>
      <c r="B586" s="1749"/>
      <c r="C586" s="1748"/>
      <c r="D586" s="1748"/>
      <c r="E586" s="1748"/>
      <c r="F586" s="1748"/>
      <c r="G586" s="1748"/>
      <c r="H586" s="1748"/>
      <c r="I586" s="1748"/>
      <c r="J586" s="1748"/>
      <c r="K586" s="1748"/>
      <c r="L586" s="1748"/>
      <c r="M586" s="1748"/>
      <c r="N586" s="1748"/>
      <c r="O586" s="1748"/>
      <c r="P586" s="6"/>
      <c r="Q586" s="6"/>
      <c r="R586" s="6"/>
      <c r="S586" s="6"/>
    </row>
    <row r="587" spans="1:19" x14ac:dyDescent="0.2">
      <c r="A587" s="1749"/>
      <c r="B587" s="1749"/>
      <c r="C587" s="1748"/>
      <c r="D587" s="1748"/>
      <c r="E587" s="1748"/>
      <c r="F587" s="1748"/>
      <c r="G587" s="1748"/>
      <c r="H587" s="1748"/>
      <c r="I587" s="1748"/>
      <c r="J587" s="1748"/>
      <c r="K587" s="1748"/>
      <c r="L587" s="1748"/>
      <c r="M587" s="1748"/>
      <c r="N587" s="1748"/>
      <c r="O587" s="1748"/>
      <c r="P587" s="6"/>
      <c r="Q587" s="6"/>
      <c r="R587" s="6"/>
      <c r="S587" s="6"/>
    </row>
    <row r="588" spans="1:19" x14ac:dyDescent="0.2">
      <c r="A588" s="1749"/>
      <c r="B588" s="1749"/>
      <c r="C588" s="1748"/>
      <c r="D588" s="1748"/>
      <c r="E588" s="1748"/>
      <c r="F588" s="1748"/>
      <c r="G588" s="1748"/>
      <c r="H588" s="1748"/>
      <c r="I588" s="1748"/>
      <c r="J588" s="1748"/>
      <c r="K588" s="1748"/>
      <c r="L588" s="1748"/>
      <c r="M588" s="1748"/>
      <c r="N588" s="1748"/>
      <c r="O588" s="1748"/>
      <c r="P588" s="6"/>
      <c r="Q588" s="6"/>
      <c r="R588" s="6"/>
      <c r="S588" s="6"/>
    </row>
    <row r="589" spans="1:19" x14ac:dyDescent="0.2">
      <c r="A589" s="1749"/>
      <c r="B589" s="1749"/>
      <c r="C589" s="1748"/>
      <c r="D589" s="1748"/>
      <c r="E589" s="1748"/>
      <c r="F589" s="1748"/>
      <c r="G589" s="1748"/>
      <c r="H589" s="1748"/>
      <c r="I589" s="1748"/>
      <c r="J589" s="1748"/>
      <c r="K589" s="1748"/>
      <c r="L589" s="1748"/>
      <c r="M589" s="1748"/>
      <c r="N589" s="1748"/>
      <c r="O589" s="1748"/>
      <c r="P589" s="6"/>
      <c r="Q589" s="6"/>
      <c r="R589" s="6"/>
      <c r="S589" s="6"/>
    </row>
    <row r="590" spans="1:19" x14ac:dyDescent="0.2">
      <c r="A590" s="1749"/>
      <c r="B590" s="1749"/>
      <c r="C590" s="1748"/>
      <c r="D590" s="1748"/>
      <c r="E590" s="1748"/>
      <c r="F590" s="1748"/>
      <c r="G590" s="1748"/>
      <c r="H590" s="1748"/>
      <c r="I590" s="1748"/>
      <c r="J590" s="1748"/>
      <c r="K590" s="1748"/>
      <c r="L590" s="1748"/>
      <c r="M590" s="1748"/>
      <c r="N590" s="1748"/>
      <c r="O590" s="1748"/>
      <c r="P590" s="6"/>
      <c r="Q590" s="6"/>
      <c r="R590" s="6"/>
      <c r="S590" s="6"/>
    </row>
    <row r="591" spans="1:19" x14ac:dyDescent="0.2">
      <c r="A591" s="1749"/>
      <c r="B591" s="1749"/>
      <c r="C591" s="1748"/>
      <c r="D591" s="1748"/>
      <c r="E591" s="1748"/>
      <c r="F591" s="1748"/>
      <c r="G591" s="1748"/>
      <c r="H591" s="1748"/>
      <c r="I591" s="1748"/>
      <c r="J591" s="1748"/>
      <c r="K591" s="1748"/>
      <c r="L591" s="1748"/>
      <c r="M591" s="1748"/>
      <c r="N591" s="1748"/>
      <c r="O591" s="1748"/>
      <c r="P591" s="6"/>
      <c r="Q591" s="6"/>
      <c r="R591" s="6"/>
      <c r="S591" s="6"/>
    </row>
    <row r="592" spans="1:19" x14ac:dyDescent="0.2">
      <c r="A592" s="1749"/>
      <c r="B592" s="1749"/>
      <c r="C592" s="1748"/>
      <c r="D592" s="1748"/>
      <c r="E592" s="1748"/>
      <c r="F592" s="1748"/>
      <c r="G592" s="1748"/>
      <c r="H592" s="1748"/>
      <c r="I592" s="1748"/>
      <c r="J592" s="1748"/>
      <c r="K592" s="1748"/>
      <c r="L592" s="1748"/>
      <c r="M592" s="1748"/>
      <c r="N592" s="1748"/>
      <c r="O592" s="1748"/>
      <c r="P592" s="6"/>
      <c r="Q592" s="6"/>
      <c r="R592" s="6"/>
      <c r="S592" s="6"/>
    </row>
    <row r="593" spans="1:19" x14ac:dyDescent="0.2">
      <c r="A593" s="1749"/>
      <c r="B593" s="1749"/>
      <c r="C593" s="1748"/>
      <c r="D593" s="1748"/>
      <c r="E593" s="1748"/>
      <c r="F593" s="1748"/>
      <c r="G593" s="1748"/>
      <c r="H593" s="1748"/>
      <c r="I593" s="1748"/>
      <c r="J593" s="1748"/>
      <c r="K593" s="1748"/>
      <c r="L593" s="1748"/>
      <c r="M593" s="1748"/>
      <c r="N593" s="1748"/>
      <c r="O593" s="1748"/>
      <c r="P593" s="6"/>
      <c r="Q593" s="6"/>
      <c r="R593" s="6"/>
      <c r="S593" s="6"/>
    </row>
    <row r="594" spans="1:19" x14ac:dyDescent="0.2">
      <c r="A594" s="1749"/>
      <c r="B594" s="1749"/>
      <c r="C594" s="1748"/>
      <c r="D594" s="1748"/>
      <c r="E594" s="1748"/>
      <c r="F594" s="1748"/>
      <c r="G594" s="1748"/>
      <c r="H594" s="1748"/>
      <c r="I594" s="1748"/>
      <c r="J594" s="1748"/>
      <c r="K594" s="1748"/>
      <c r="L594" s="1748"/>
      <c r="M594" s="1748"/>
      <c r="N594" s="1748"/>
      <c r="O594" s="1748"/>
      <c r="P594" s="6"/>
      <c r="Q594" s="6"/>
      <c r="R594" s="6"/>
      <c r="S594" s="6"/>
    </row>
    <row r="595" spans="1:19" x14ac:dyDescent="0.2">
      <c r="A595" s="1749"/>
      <c r="B595" s="1749"/>
      <c r="C595" s="1748"/>
      <c r="D595" s="1748"/>
      <c r="E595" s="1748"/>
      <c r="F595" s="1748"/>
      <c r="G595" s="1748"/>
      <c r="H595" s="1748"/>
      <c r="I595" s="1748"/>
      <c r="J595" s="1748"/>
      <c r="K595" s="1748"/>
      <c r="L595" s="1748"/>
      <c r="M595" s="1748"/>
      <c r="N595" s="1748"/>
      <c r="O595" s="1748"/>
      <c r="P595" s="6"/>
      <c r="Q595" s="6"/>
      <c r="R595" s="6"/>
      <c r="S595" s="6"/>
    </row>
    <row r="596" spans="1:19" x14ac:dyDescent="0.2">
      <c r="A596" s="1749"/>
      <c r="B596" s="1749"/>
      <c r="C596" s="1748"/>
      <c r="D596" s="1748"/>
      <c r="E596" s="1748"/>
      <c r="F596" s="1748"/>
      <c r="G596" s="1748"/>
      <c r="H596" s="1748"/>
      <c r="I596" s="1748"/>
      <c r="J596" s="1748"/>
      <c r="K596" s="1748"/>
      <c r="L596" s="1748"/>
      <c r="M596" s="1748"/>
      <c r="N596" s="1748"/>
      <c r="O596" s="1748"/>
      <c r="P596" s="6"/>
      <c r="Q596" s="6"/>
      <c r="R596" s="6"/>
      <c r="S596" s="6"/>
    </row>
    <row r="597" spans="1:19" x14ac:dyDescent="0.2">
      <c r="A597" s="1749"/>
      <c r="B597" s="1749"/>
      <c r="C597" s="1748"/>
      <c r="D597" s="1748"/>
      <c r="E597" s="1748"/>
      <c r="F597" s="1748"/>
      <c r="G597" s="1748"/>
      <c r="H597" s="1748"/>
      <c r="I597" s="1748"/>
      <c r="J597" s="1748"/>
      <c r="K597" s="1748"/>
      <c r="L597" s="1748"/>
      <c r="M597" s="1748"/>
      <c r="N597" s="1748"/>
      <c r="O597" s="1748"/>
      <c r="P597" s="6"/>
      <c r="Q597" s="6"/>
      <c r="R597" s="6"/>
      <c r="S597" s="6"/>
    </row>
    <row r="598" spans="1:19" x14ac:dyDescent="0.2">
      <c r="A598" s="1749"/>
      <c r="B598" s="1749"/>
      <c r="C598" s="1748"/>
      <c r="D598" s="1748"/>
      <c r="E598" s="1748"/>
      <c r="F598" s="1748"/>
      <c r="G598" s="1748"/>
      <c r="H598" s="1748"/>
      <c r="I598" s="1748"/>
      <c r="J598" s="1748"/>
      <c r="K598" s="1748"/>
      <c r="L598" s="1748"/>
      <c r="M598" s="1748"/>
      <c r="N598" s="1748"/>
      <c r="O598" s="1748"/>
      <c r="P598" s="6"/>
      <c r="Q598" s="6"/>
      <c r="R598" s="6"/>
      <c r="S598" s="6"/>
    </row>
    <row r="599" spans="1:19" x14ac:dyDescent="0.2">
      <c r="A599" s="1749"/>
      <c r="B599" s="1749"/>
      <c r="C599" s="1748"/>
      <c r="D599" s="1748"/>
      <c r="E599" s="1748"/>
      <c r="F599" s="1748"/>
      <c r="G599" s="1748"/>
      <c r="H599" s="1748"/>
      <c r="I599" s="1748"/>
      <c r="J599" s="1748"/>
      <c r="K599" s="1748"/>
      <c r="L599" s="1748"/>
      <c r="M599" s="1748"/>
      <c r="N599" s="1748"/>
      <c r="O599" s="1748"/>
      <c r="P599" s="6"/>
      <c r="Q599" s="6"/>
      <c r="R599" s="6"/>
      <c r="S599" s="6"/>
    </row>
    <row r="600" spans="1:19" x14ac:dyDescent="0.2">
      <c r="A600" s="1749"/>
      <c r="B600" s="1749"/>
      <c r="C600" s="1748"/>
      <c r="D600" s="1748"/>
      <c r="E600" s="1748"/>
      <c r="F600" s="1748"/>
      <c r="G600" s="1748"/>
      <c r="H600" s="1748"/>
      <c r="I600" s="1748"/>
      <c r="J600" s="1748"/>
      <c r="K600" s="1748"/>
      <c r="L600" s="1748"/>
      <c r="M600" s="1748"/>
      <c r="N600" s="1748"/>
      <c r="O600" s="1748"/>
      <c r="P600" s="6"/>
      <c r="Q600" s="6"/>
      <c r="R600" s="6"/>
      <c r="S600" s="6"/>
    </row>
    <row r="601" spans="1:19" x14ac:dyDescent="0.2">
      <c r="A601" s="1749"/>
      <c r="B601" s="1749"/>
      <c r="C601" s="1748"/>
      <c r="D601" s="1748"/>
      <c r="E601" s="1748"/>
      <c r="F601" s="1748"/>
      <c r="G601" s="1748"/>
      <c r="H601" s="1748"/>
      <c r="I601" s="1748"/>
      <c r="J601" s="1748"/>
      <c r="K601" s="1748"/>
      <c r="L601" s="1748"/>
      <c r="M601" s="1748"/>
      <c r="N601" s="1748"/>
      <c r="O601" s="1748"/>
      <c r="P601" s="6"/>
      <c r="Q601" s="6"/>
      <c r="R601" s="6"/>
      <c r="S601" s="6"/>
    </row>
    <row r="602" spans="1:19" x14ac:dyDescent="0.2">
      <c r="A602" s="1749"/>
      <c r="B602" s="1749"/>
      <c r="C602" s="1748"/>
      <c r="D602" s="1748"/>
      <c r="E602" s="1748"/>
      <c r="F602" s="1748"/>
      <c r="G602" s="1748"/>
      <c r="H602" s="1748"/>
      <c r="I602" s="1748"/>
      <c r="J602" s="1748"/>
      <c r="K602" s="1748"/>
      <c r="L602" s="1748"/>
      <c r="M602" s="1748"/>
      <c r="N602" s="1748"/>
      <c r="O602" s="1748"/>
      <c r="P602" s="6"/>
      <c r="Q602" s="6"/>
      <c r="R602" s="6"/>
      <c r="S602" s="6"/>
    </row>
    <row r="603" spans="1:19" x14ac:dyDescent="0.2">
      <c r="A603" s="1749"/>
      <c r="B603" s="1749"/>
      <c r="C603" s="1748"/>
      <c r="D603" s="1748"/>
      <c r="E603" s="1748"/>
      <c r="F603" s="1748"/>
      <c r="G603" s="1748"/>
      <c r="H603" s="1748"/>
      <c r="I603" s="1748"/>
      <c r="J603" s="1748"/>
      <c r="K603" s="1748"/>
      <c r="L603" s="1748"/>
      <c r="M603" s="1748"/>
      <c r="N603" s="1748"/>
      <c r="O603" s="1748"/>
      <c r="P603" s="6"/>
      <c r="Q603" s="6"/>
      <c r="R603" s="6"/>
      <c r="S603" s="6"/>
    </row>
    <row r="604" spans="1:19" x14ac:dyDescent="0.2">
      <c r="A604" s="1749"/>
      <c r="B604" s="1749"/>
      <c r="C604" s="1748"/>
      <c r="D604" s="1748"/>
      <c r="E604" s="1748"/>
      <c r="F604" s="1748"/>
      <c r="G604" s="1748"/>
      <c r="H604" s="1748"/>
      <c r="I604" s="1748"/>
      <c r="J604" s="1748"/>
      <c r="K604" s="1748"/>
      <c r="L604" s="1748"/>
      <c r="M604" s="1748"/>
      <c r="N604" s="1748"/>
      <c r="O604" s="1748"/>
      <c r="P604" s="6"/>
      <c r="Q604" s="6"/>
      <c r="R604" s="6"/>
      <c r="S604" s="6"/>
    </row>
    <row r="605" spans="1:19" x14ac:dyDescent="0.2">
      <c r="A605" s="1749"/>
      <c r="B605" s="1749"/>
      <c r="C605" s="1748"/>
      <c r="D605" s="1748"/>
      <c r="E605" s="1748"/>
      <c r="F605" s="1748"/>
      <c r="G605" s="1748"/>
      <c r="H605" s="1748"/>
      <c r="I605" s="1748"/>
      <c r="J605" s="1748"/>
      <c r="K605" s="1748"/>
      <c r="L605" s="1748"/>
      <c r="M605" s="1748"/>
      <c r="N605" s="1748"/>
      <c r="O605" s="1748"/>
      <c r="P605" s="6"/>
      <c r="Q605" s="6"/>
      <c r="R605" s="6"/>
      <c r="S605" s="6"/>
    </row>
    <row r="606" spans="1:19" x14ac:dyDescent="0.2">
      <c r="A606" s="1749"/>
      <c r="B606" s="1749"/>
      <c r="C606" s="1748"/>
      <c r="D606" s="1748"/>
      <c r="E606" s="1748"/>
      <c r="F606" s="1748"/>
      <c r="G606" s="1748"/>
      <c r="H606" s="1748"/>
      <c r="I606" s="1748"/>
      <c r="J606" s="1748"/>
      <c r="K606" s="1748"/>
      <c r="L606" s="1748"/>
      <c r="M606" s="1748"/>
      <c r="N606" s="1748"/>
      <c r="O606" s="1748"/>
      <c r="P606" s="6"/>
      <c r="Q606" s="6"/>
      <c r="R606" s="6"/>
      <c r="S606" s="6"/>
    </row>
    <row r="607" spans="1:19" x14ac:dyDescent="0.2">
      <c r="A607" s="1749"/>
      <c r="B607" s="1749"/>
      <c r="C607" s="1748"/>
      <c r="D607" s="1748"/>
      <c r="E607" s="1748"/>
      <c r="F607" s="1748"/>
      <c r="G607" s="1748"/>
      <c r="H607" s="1748"/>
      <c r="I607" s="1748"/>
      <c r="J607" s="1748"/>
      <c r="K607" s="1748"/>
      <c r="L607" s="1748"/>
      <c r="M607" s="1748"/>
      <c r="N607" s="1748"/>
      <c r="O607" s="1748"/>
      <c r="P607" s="6"/>
      <c r="Q607" s="6"/>
      <c r="R607" s="6"/>
      <c r="S607" s="6"/>
    </row>
    <row r="608" spans="1:19" x14ac:dyDescent="0.2">
      <c r="A608" s="1749"/>
      <c r="B608" s="1749"/>
      <c r="C608" s="1748"/>
      <c r="D608" s="1748"/>
      <c r="E608" s="1748"/>
      <c r="F608" s="1748"/>
      <c r="G608" s="1748"/>
      <c r="H608" s="1748"/>
      <c r="I608" s="1748"/>
      <c r="J608" s="1748"/>
      <c r="K608" s="1748"/>
      <c r="L608" s="1748"/>
      <c r="M608" s="1748"/>
      <c r="N608" s="1748"/>
      <c r="O608" s="1748"/>
      <c r="P608" s="6"/>
      <c r="Q608" s="6"/>
      <c r="R608" s="6"/>
      <c r="S608" s="6"/>
    </row>
    <row r="609" spans="1:19" x14ac:dyDescent="0.2">
      <c r="A609" s="1749"/>
      <c r="B609" s="1749"/>
      <c r="C609" s="1748"/>
      <c r="D609" s="1748"/>
      <c r="E609" s="1748"/>
      <c r="F609" s="1748"/>
      <c r="G609" s="1748"/>
      <c r="H609" s="1748"/>
      <c r="I609" s="1748"/>
      <c r="J609" s="1748"/>
      <c r="K609" s="1748"/>
      <c r="L609" s="1748"/>
      <c r="M609" s="1748"/>
      <c r="N609" s="1748"/>
      <c r="O609" s="1748"/>
      <c r="P609" s="6"/>
      <c r="Q609" s="6"/>
      <c r="R609" s="6"/>
      <c r="S609" s="6"/>
    </row>
    <row r="610" spans="1:19" x14ac:dyDescent="0.2">
      <c r="A610" s="1749"/>
      <c r="B610" s="1749"/>
      <c r="C610" s="1748"/>
      <c r="D610" s="1748"/>
      <c r="E610" s="1748"/>
      <c r="F610" s="1748"/>
      <c r="G610" s="1748"/>
      <c r="H610" s="1748"/>
      <c r="I610" s="1748"/>
      <c r="J610" s="1748"/>
      <c r="K610" s="1748"/>
      <c r="L610" s="1748"/>
      <c r="M610" s="1748"/>
      <c r="N610" s="1748"/>
      <c r="O610" s="1748"/>
      <c r="P610" s="6"/>
      <c r="Q610" s="6"/>
      <c r="R610" s="6"/>
      <c r="S610" s="6"/>
    </row>
    <row r="611" spans="1:19" x14ac:dyDescent="0.2">
      <c r="A611" s="1749"/>
      <c r="B611" s="1749"/>
      <c r="C611" s="1748"/>
      <c r="D611" s="1748"/>
      <c r="E611" s="1748"/>
      <c r="F611" s="1748"/>
      <c r="G611" s="1748"/>
      <c r="H611" s="1748"/>
      <c r="I611" s="1748"/>
      <c r="J611" s="1748"/>
      <c r="K611" s="1748"/>
      <c r="L611" s="1748"/>
      <c r="M611" s="1748"/>
      <c r="N611" s="1748"/>
      <c r="O611" s="1748"/>
      <c r="P611" s="6"/>
      <c r="Q611" s="6"/>
      <c r="R611" s="6"/>
      <c r="S611" s="6"/>
    </row>
    <row r="612" spans="1:19" x14ac:dyDescent="0.2">
      <c r="A612" s="1749"/>
      <c r="B612" s="1749"/>
      <c r="C612" s="1748"/>
      <c r="D612" s="1748"/>
      <c r="E612" s="1748"/>
      <c r="F612" s="1748"/>
      <c r="G612" s="1748"/>
      <c r="H612" s="1748"/>
      <c r="I612" s="1748"/>
      <c r="J612" s="1748"/>
      <c r="K612" s="1748"/>
      <c r="L612" s="1748"/>
      <c r="M612" s="1748"/>
      <c r="N612" s="1748"/>
      <c r="O612" s="1748"/>
      <c r="P612" s="6"/>
      <c r="Q612" s="6"/>
      <c r="R612" s="6"/>
      <c r="S612" s="6"/>
    </row>
    <row r="613" spans="1:19" x14ac:dyDescent="0.2">
      <c r="A613" s="1749"/>
      <c r="B613" s="1749"/>
      <c r="C613" s="1748"/>
      <c r="D613" s="1748"/>
      <c r="E613" s="1748"/>
      <c r="F613" s="1748"/>
      <c r="G613" s="1748"/>
      <c r="H613" s="1748"/>
      <c r="I613" s="1748"/>
      <c r="J613" s="1748"/>
      <c r="K613" s="1748"/>
      <c r="L613" s="1748"/>
      <c r="M613" s="1748"/>
      <c r="N613" s="1748"/>
      <c r="O613" s="1748"/>
      <c r="P613" s="6"/>
      <c r="Q613" s="6"/>
      <c r="R613" s="6"/>
      <c r="S613" s="6"/>
    </row>
    <row r="614" spans="1:19" x14ac:dyDescent="0.2">
      <c r="A614" s="1749"/>
      <c r="B614" s="1749"/>
      <c r="C614" s="1748"/>
      <c r="D614" s="1748"/>
      <c r="E614" s="1748"/>
      <c r="F614" s="1748"/>
      <c r="G614" s="1748"/>
      <c r="H614" s="1748"/>
      <c r="I614" s="1748"/>
      <c r="J614" s="1748"/>
      <c r="K614" s="1748"/>
      <c r="L614" s="1748"/>
      <c r="M614" s="1748"/>
      <c r="N614" s="1748"/>
      <c r="O614" s="1748"/>
      <c r="P614" s="6"/>
      <c r="Q614" s="6"/>
      <c r="R614" s="6"/>
      <c r="S614" s="6"/>
    </row>
    <row r="615" spans="1:19" x14ac:dyDescent="0.2">
      <c r="A615" s="1749"/>
      <c r="B615" s="1749"/>
      <c r="C615" s="1748"/>
      <c r="D615" s="1748"/>
      <c r="E615" s="1748"/>
      <c r="F615" s="1748"/>
      <c r="G615" s="1748"/>
      <c r="H615" s="1748"/>
      <c r="I615" s="1748"/>
      <c r="J615" s="1748"/>
      <c r="K615" s="1748"/>
      <c r="L615" s="1748"/>
      <c r="M615" s="1748"/>
      <c r="N615" s="1748"/>
      <c r="O615" s="1748"/>
      <c r="P615" s="6"/>
      <c r="Q615" s="6"/>
      <c r="R615" s="6"/>
      <c r="S615" s="6"/>
    </row>
    <row r="616" spans="1:19" x14ac:dyDescent="0.2">
      <c r="A616" s="1749"/>
      <c r="B616" s="1749"/>
      <c r="C616" s="1748"/>
      <c r="D616" s="1748"/>
      <c r="E616" s="1748"/>
      <c r="F616" s="1748"/>
      <c r="G616" s="1748"/>
      <c r="H616" s="1748"/>
      <c r="I616" s="1748"/>
      <c r="J616" s="1748"/>
      <c r="K616" s="1748"/>
      <c r="L616" s="1748"/>
      <c r="M616" s="1748"/>
      <c r="N616" s="1748"/>
      <c r="O616" s="1748"/>
      <c r="P616" s="6"/>
      <c r="Q616" s="6"/>
      <c r="R616" s="6"/>
      <c r="S616" s="6"/>
    </row>
    <row r="617" spans="1:19" x14ac:dyDescent="0.2">
      <c r="A617" s="1749"/>
      <c r="B617" s="1749"/>
      <c r="C617" s="1748"/>
      <c r="D617" s="1748"/>
      <c r="E617" s="1748"/>
      <c r="F617" s="1748"/>
      <c r="G617" s="1748"/>
      <c r="H617" s="1748"/>
      <c r="I617" s="1748"/>
      <c r="J617" s="1748"/>
      <c r="K617" s="1748"/>
      <c r="L617" s="1748"/>
      <c r="M617" s="1748"/>
      <c r="N617" s="1748"/>
      <c r="O617" s="1748"/>
      <c r="P617" s="6"/>
      <c r="Q617" s="6"/>
      <c r="R617" s="6"/>
      <c r="S617" s="6"/>
    </row>
    <row r="618" spans="1:19" x14ac:dyDescent="0.2">
      <c r="A618" s="1749"/>
      <c r="B618" s="1749"/>
      <c r="C618" s="1748"/>
      <c r="D618" s="1748"/>
      <c r="E618" s="1748"/>
      <c r="F618" s="1748"/>
      <c r="G618" s="1748"/>
      <c r="H618" s="1748"/>
      <c r="I618" s="1748"/>
      <c r="J618" s="1748"/>
      <c r="K618" s="1748"/>
      <c r="L618" s="1748"/>
      <c r="M618" s="1748"/>
      <c r="N618" s="1748"/>
      <c r="O618" s="1748"/>
      <c r="P618" s="6"/>
      <c r="Q618" s="6"/>
      <c r="R618" s="6"/>
      <c r="S618" s="6"/>
    </row>
    <row r="619" spans="1:19" x14ac:dyDescent="0.2">
      <c r="A619" s="1749"/>
      <c r="B619" s="1749"/>
      <c r="C619" s="1748"/>
      <c r="D619" s="1748"/>
      <c r="E619" s="1748"/>
      <c r="F619" s="1748"/>
      <c r="G619" s="1748"/>
      <c r="H619" s="1748"/>
      <c r="I619" s="1748"/>
      <c r="J619" s="1748"/>
      <c r="K619" s="1748"/>
      <c r="L619" s="1748"/>
      <c r="M619" s="1748"/>
      <c r="N619" s="1748"/>
      <c r="O619" s="1748"/>
      <c r="P619" s="6"/>
      <c r="Q619" s="6"/>
      <c r="R619" s="6"/>
      <c r="S619" s="6"/>
    </row>
    <row r="620" spans="1:19" x14ac:dyDescent="0.2">
      <c r="A620" s="1749"/>
      <c r="B620" s="1749"/>
      <c r="C620" s="1748"/>
      <c r="D620" s="1748"/>
      <c r="E620" s="1748"/>
      <c r="F620" s="1748"/>
      <c r="G620" s="1748"/>
      <c r="H620" s="1748"/>
      <c r="I620" s="1748"/>
      <c r="J620" s="1748"/>
      <c r="K620" s="1748"/>
      <c r="L620" s="1748"/>
      <c r="M620" s="1748"/>
      <c r="N620" s="1748"/>
      <c r="O620" s="1748"/>
      <c r="P620" s="6"/>
      <c r="Q620" s="6"/>
      <c r="R620" s="6"/>
      <c r="S620" s="6"/>
    </row>
    <row r="621" spans="1:19" x14ac:dyDescent="0.2">
      <c r="A621" s="1749"/>
      <c r="B621" s="1749"/>
      <c r="C621" s="1748"/>
      <c r="D621" s="1748"/>
      <c r="E621" s="1748"/>
      <c r="F621" s="1748"/>
      <c r="G621" s="1748"/>
      <c r="H621" s="1748"/>
      <c r="I621" s="1748"/>
      <c r="J621" s="1748"/>
      <c r="K621" s="1748"/>
      <c r="L621" s="1748"/>
      <c r="M621" s="1748"/>
      <c r="N621" s="1748"/>
      <c r="O621" s="1748"/>
      <c r="P621" s="6"/>
      <c r="Q621" s="6"/>
      <c r="R621" s="6"/>
      <c r="S621" s="6"/>
    </row>
    <row r="622" spans="1:19" x14ac:dyDescent="0.2">
      <c r="A622" s="1749"/>
      <c r="B622" s="1749"/>
      <c r="C622" s="1748"/>
      <c r="D622" s="1748"/>
      <c r="E622" s="1748"/>
      <c r="F622" s="1748"/>
      <c r="G622" s="1748"/>
      <c r="H622" s="1748"/>
      <c r="I622" s="1748"/>
      <c r="J622" s="1748"/>
      <c r="K622" s="1748"/>
      <c r="L622" s="1748"/>
      <c r="M622" s="1748"/>
      <c r="N622" s="1748"/>
      <c r="O622" s="1748"/>
      <c r="P622" s="6"/>
      <c r="Q622" s="6"/>
      <c r="R622" s="6"/>
      <c r="S622" s="6"/>
    </row>
    <row r="623" spans="1:19" x14ac:dyDescent="0.2">
      <c r="A623" s="1749"/>
      <c r="B623" s="1749"/>
      <c r="C623" s="1748"/>
      <c r="D623" s="1748"/>
      <c r="E623" s="1748"/>
      <c r="F623" s="1748"/>
      <c r="G623" s="1748"/>
      <c r="H623" s="1748"/>
      <c r="I623" s="1748"/>
      <c r="J623" s="1748"/>
      <c r="K623" s="1748"/>
      <c r="L623" s="1748"/>
      <c r="M623" s="1748"/>
      <c r="N623" s="1748"/>
      <c r="O623" s="1748"/>
      <c r="P623" s="6"/>
      <c r="Q623" s="6"/>
      <c r="R623" s="6"/>
      <c r="S623" s="6"/>
    </row>
    <row r="624" spans="1:19" x14ac:dyDescent="0.2">
      <c r="A624" s="1749"/>
      <c r="B624" s="1749"/>
      <c r="C624" s="1748"/>
      <c r="D624" s="1748"/>
      <c r="E624" s="1748"/>
      <c r="F624" s="1748"/>
      <c r="G624" s="1748"/>
      <c r="H624" s="1748"/>
      <c r="I624" s="1748"/>
      <c r="J624" s="1748"/>
      <c r="K624" s="1748"/>
      <c r="L624" s="1748"/>
      <c r="M624" s="1748"/>
      <c r="N624" s="1748"/>
      <c r="O624" s="1748"/>
      <c r="P624" s="6"/>
      <c r="Q624" s="6"/>
      <c r="R624" s="6"/>
      <c r="S624" s="6"/>
    </row>
    <row r="625" spans="1:19" x14ac:dyDescent="0.2">
      <c r="A625" s="1749"/>
      <c r="B625" s="1749"/>
      <c r="C625" s="1748"/>
      <c r="D625" s="1748"/>
      <c r="E625" s="1748"/>
      <c r="F625" s="1748"/>
      <c r="G625" s="1748"/>
      <c r="H625" s="1748"/>
      <c r="I625" s="1748"/>
      <c r="J625" s="1748"/>
      <c r="K625" s="1748"/>
      <c r="L625" s="1748"/>
      <c r="M625" s="1748"/>
      <c r="N625" s="1748"/>
      <c r="O625" s="1748"/>
      <c r="P625" s="6"/>
      <c r="Q625" s="6"/>
      <c r="R625" s="6"/>
      <c r="S625" s="6"/>
    </row>
    <row r="626" spans="1:19" x14ac:dyDescent="0.2">
      <c r="A626" s="1749"/>
      <c r="B626" s="1749"/>
      <c r="C626" s="1748"/>
      <c r="D626" s="1748"/>
      <c r="E626" s="1748"/>
      <c r="F626" s="1748"/>
      <c r="G626" s="1748"/>
      <c r="H626" s="1748"/>
      <c r="I626" s="1748"/>
      <c r="J626" s="1748"/>
      <c r="K626" s="1748"/>
      <c r="L626" s="1748"/>
      <c r="M626" s="1748"/>
      <c r="N626" s="1748"/>
      <c r="O626" s="1748"/>
      <c r="P626" s="6"/>
      <c r="Q626" s="6"/>
      <c r="R626" s="6"/>
      <c r="S626" s="6"/>
    </row>
    <row r="627" spans="1:19" x14ac:dyDescent="0.2">
      <c r="A627" s="1749"/>
      <c r="B627" s="1749"/>
      <c r="C627" s="1748"/>
      <c r="D627" s="1748"/>
      <c r="E627" s="1748"/>
      <c r="F627" s="1748"/>
      <c r="G627" s="1748"/>
      <c r="H627" s="1748"/>
      <c r="I627" s="1748"/>
      <c r="J627" s="1748"/>
      <c r="K627" s="1748"/>
      <c r="L627" s="1748"/>
      <c r="M627" s="1748"/>
      <c r="N627" s="1748"/>
      <c r="O627" s="1748"/>
      <c r="P627" s="6"/>
      <c r="Q627" s="6"/>
      <c r="R627" s="6"/>
      <c r="S627" s="6"/>
    </row>
    <row r="628" spans="1:19" x14ac:dyDescent="0.2">
      <c r="A628" s="1749"/>
      <c r="B628" s="1749"/>
      <c r="C628" s="1748"/>
      <c r="D628" s="1748"/>
      <c r="E628" s="1748"/>
      <c r="F628" s="1748"/>
      <c r="G628" s="1748"/>
      <c r="H628" s="1748"/>
      <c r="I628" s="1748"/>
      <c r="J628" s="1748"/>
      <c r="K628" s="1748"/>
      <c r="L628" s="1748"/>
      <c r="M628" s="1748"/>
      <c r="N628" s="1748"/>
      <c r="O628" s="1748"/>
      <c r="P628" s="6"/>
      <c r="Q628" s="6"/>
      <c r="R628" s="6"/>
      <c r="S628" s="6"/>
    </row>
    <row r="629" spans="1:19" x14ac:dyDescent="0.2">
      <c r="A629" s="1749"/>
      <c r="B629" s="1749"/>
      <c r="C629" s="1748"/>
      <c r="D629" s="1748"/>
      <c r="E629" s="1748"/>
      <c r="F629" s="1748"/>
      <c r="G629" s="1748"/>
      <c r="H629" s="1748"/>
      <c r="I629" s="1748"/>
      <c r="J629" s="1748"/>
      <c r="K629" s="1748"/>
      <c r="L629" s="1748"/>
      <c r="M629" s="1748"/>
      <c r="N629" s="1748"/>
      <c r="O629" s="1748"/>
      <c r="P629" s="6"/>
      <c r="Q629" s="6"/>
      <c r="R629" s="6"/>
      <c r="S629" s="6"/>
    </row>
    <row r="630" spans="1:19" x14ac:dyDescent="0.2">
      <c r="A630" s="1749"/>
      <c r="B630" s="1749"/>
      <c r="C630" s="1748"/>
      <c r="D630" s="1748"/>
      <c r="E630" s="1748"/>
      <c r="F630" s="1748"/>
      <c r="G630" s="1748"/>
      <c r="H630" s="1748"/>
      <c r="I630" s="1748"/>
      <c r="J630" s="1748"/>
      <c r="K630" s="1748"/>
      <c r="L630" s="1748"/>
      <c r="M630" s="1748"/>
      <c r="N630" s="1748"/>
      <c r="O630" s="1748"/>
      <c r="P630" s="6"/>
      <c r="Q630" s="6"/>
      <c r="R630" s="6"/>
      <c r="S630" s="6"/>
    </row>
    <row r="631" spans="1:19" x14ac:dyDescent="0.2">
      <c r="A631" s="1749"/>
      <c r="B631" s="1749"/>
      <c r="C631" s="1748"/>
      <c r="D631" s="1748"/>
      <c r="E631" s="1748"/>
      <c r="F631" s="1748"/>
      <c r="G631" s="1748"/>
      <c r="H631" s="1748"/>
      <c r="I631" s="1748"/>
      <c r="J631" s="1748"/>
      <c r="K631" s="1748"/>
      <c r="L631" s="1748"/>
      <c r="M631" s="1748"/>
      <c r="N631" s="1748"/>
      <c r="O631" s="1748"/>
      <c r="P631" s="6"/>
      <c r="Q631" s="6"/>
      <c r="R631" s="6"/>
      <c r="S631" s="6"/>
    </row>
    <row r="632" spans="1:19" x14ac:dyDescent="0.2">
      <c r="A632" s="1749"/>
      <c r="B632" s="1749"/>
      <c r="C632" s="1748"/>
      <c r="D632" s="1748"/>
      <c r="E632" s="1748"/>
      <c r="F632" s="1748"/>
      <c r="G632" s="1748"/>
      <c r="H632" s="1748"/>
      <c r="I632" s="1748"/>
      <c r="J632" s="1748"/>
      <c r="K632" s="1748"/>
      <c r="L632" s="1748"/>
      <c r="M632" s="1748"/>
      <c r="N632" s="1748"/>
      <c r="O632" s="1748"/>
      <c r="P632" s="6"/>
      <c r="Q632" s="6"/>
      <c r="R632" s="6"/>
      <c r="S632" s="6"/>
    </row>
    <row r="633" spans="1:19" x14ac:dyDescent="0.2">
      <c r="A633" s="1749"/>
      <c r="B633" s="1749"/>
      <c r="C633" s="1748"/>
      <c r="D633" s="1748"/>
      <c r="E633" s="1748"/>
      <c r="F633" s="1748"/>
      <c r="G633" s="1748"/>
      <c r="H633" s="1748"/>
      <c r="I633" s="1748"/>
      <c r="J633" s="1748"/>
      <c r="K633" s="1748"/>
      <c r="L633" s="1748"/>
      <c r="M633" s="1748"/>
      <c r="N633" s="1748"/>
      <c r="O633" s="1748"/>
      <c r="P633" s="6"/>
      <c r="Q633" s="6"/>
      <c r="R633" s="6"/>
      <c r="S633" s="6"/>
    </row>
    <row r="634" spans="1:19" x14ac:dyDescent="0.2">
      <c r="A634" s="1749"/>
      <c r="B634" s="1749"/>
      <c r="C634" s="1748"/>
      <c r="D634" s="1748"/>
      <c r="E634" s="1748"/>
      <c r="F634" s="1748"/>
      <c r="G634" s="1748"/>
      <c r="H634" s="1748"/>
      <c r="I634" s="1748"/>
      <c r="J634" s="1748"/>
      <c r="K634" s="1748"/>
      <c r="L634" s="1748"/>
      <c r="M634" s="1748"/>
      <c r="N634" s="1748"/>
      <c r="O634" s="1748"/>
      <c r="P634" s="6"/>
      <c r="Q634" s="6"/>
      <c r="R634" s="6"/>
      <c r="S634" s="6"/>
    </row>
    <row r="635" spans="1:19" x14ac:dyDescent="0.2">
      <c r="A635" s="1749"/>
      <c r="B635" s="1749"/>
      <c r="C635" s="1748"/>
      <c r="D635" s="1748"/>
      <c r="E635" s="1748"/>
      <c r="F635" s="1748"/>
      <c r="G635" s="1748"/>
      <c r="H635" s="1748"/>
      <c r="I635" s="1748"/>
      <c r="J635" s="1748"/>
      <c r="K635" s="1748"/>
      <c r="L635" s="1748"/>
      <c r="M635" s="1748"/>
      <c r="N635" s="1748"/>
      <c r="O635" s="1748"/>
      <c r="P635" s="6"/>
      <c r="Q635" s="6"/>
      <c r="R635" s="6"/>
      <c r="S635" s="6"/>
    </row>
    <row r="636" spans="1:19" x14ac:dyDescent="0.2">
      <c r="A636" s="1749"/>
      <c r="B636" s="1749"/>
      <c r="C636" s="1748"/>
      <c r="D636" s="1748"/>
      <c r="E636" s="1748"/>
      <c r="F636" s="1748"/>
      <c r="G636" s="1748"/>
      <c r="H636" s="1748"/>
      <c r="I636" s="1748"/>
      <c r="J636" s="1748"/>
      <c r="K636" s="1748"/>
      <c r="L636" s="1748"/>
      <c r="M636" s="1748"/>
      <c r="N636" s="1748"/>
      <c r="O636" s="1748"/>
      <c r="P636" s="6"/>
      <c r="Q636" s="6"/>
      <c r="R636" s="6"/>
      <c r="S636" s="6"/>
    </row>
    <row r="637" spans="1:19" x14ac:dyDescent="0.2">
      <c r="A637" s="1749"/>
      <c r="B637" s="1749"/>
      <c r="C637" s="1748"/>
      <c r="D637" s="1748"/>
      <c r="E637" s="1748"/>
      <c r="F637" s="1748"/>
      <c r="G637" s="1748"/>
      <c r="H637" s="1748"/>
      <c r="I637" s="1748"/>
      <c r="J637" s="1748"/>
      <c r="K637" s="1748"/>
      <c r="L637" s="1748"/>
      <c r="M637" s="1748"/>
      <c r="N637" s="1748"/>
      <c r="O637" s="1748"/>
      <c r="P637" s="6"/>
      <c r="Q637" s="6"/>
      <c r="R637" s="6"/>
      <c r="S637" s="6"/>
    </row>
    <row r="638" spans="1:19" x14ac:dyDescent="0.2">
      <c r="A638" s="1749"/>
      <c r="B638" s="1749"/>
      <c r="C638" s="1748"/>
      <c r="D638" s="1748"/>
      <c r="E638" s="1748"/>
      <c r="F638" s="1748"/>
      <c r="G638" s="1748"/>
      <c r="H638" s="1748"/>
      <c r="I638" s="1748"/>
      <c r="J638" s="1748"/>
      <c r="K638" s="1748"/>
      <c r="L638" s="1748"/>
      <c r="M638" s="1748"/>
      <c r="N638" s="1748"/>
      <c r="O638" s="1748"/>
      <c r="P638" s="6"/>
      <c r="Q638" s="6"/>
      <c r="R638" s="6"/>
      <c r="S638" s="6"/>
    </row>
    <row r="639" spans="1:19" x14ac:dyDescent="0.2">
      <c r="A639" s="1749"/>
      <c r="B639" s="1749"/>
      <c r="C639" s="1748"/>
      <c r="D639" s="1748"/>
      <c r="E639" s="1748"/>
      <c r="F639" s="1748"/>
      <c r="G639" s="1748"/>
      <c r="H639" s="1748"/>
      <c r="I639" s="1748"/>
      <c r="J639" s="1748"/>
      <c r="K639" s="1748"/>
      <c r="L639" s="1748"/>
      <c r="M639" s="1748"/>
      <c r="N639" s="1748"/>
      <c r="O639" s="1748"/>
      <c r="P639" s="6"/>
      <c r="Q639" s="6"/>
      <c r="R639" s="6"/>
      <c r="S639" s="6"/>
    </row>
    <row r="640" spans="1:19" x14ac:dyDescent="0.2">
      <c r="A640" s="1749"/>
      <c r="B640" s="1749"/>
      <c r="C640" s="1748"/>
      <c r="D640" s="1748"/>
      <c r="E640" s="1748"/>
      <c r="F640" s="1748"/>
      <c r="G640" s="1748"/>
      <c r="H640" s="1748"/>
      <c r="I640" s="1748"/>
      <c r="J640" s="1748"/>
      <c r="K640" s="1748"/>
      <c r="L640" s="1748"/>
      <c r="M640" s="1748"/>
      <c r="N640" s="1748"/>
      <c r="O640" s="1748"/>
      <c r="P640" s="6"/>
      <c r="Q640" s="6"/>
      <c r="R640" s="6"/>
      <c r="S640" s="6"/>
    </row>
    <row r="641" spans="1:19" x14ac:dyDescent="0.2">
      <c r="A641" s="1749"/>
      <c r="B641" s="1749"/>
      <c r="C641" s="1748"/>
      <c r="D641" s="1748"/>
      <c r="E641" s="1748"/>
      <c r="F641" s="1748"/>
      <c r="G641" s="1748"/>
      <c r="H641" s="1748"/>
      <c r="I641" s="1748"/>
      <c r="J641" s="1748"/>
      <c r="K641" s="1748"/>
      <c r="L641" s="1748"/>
      <c r="M641" s="1748"/>
      <c r="N641" s="1748"/>
      <c r="O641" s="1748"/>
      <c r="P641" s="6"/>
      <c r="Q641" s="6"/>
      <c r="R641" s="6"/>
      <c r="S641" s="6"/>
    </row>
    <row r="642" spans="1:19" x14ac:dyDescent="0.2">
      <c r="A642" s="1749"/>
      <c r="B642" s="1749"/>
      <c r="C642" s="1748"/>
      <c r="D642" s="1748"/>
      <c r="E642" s="1748"/>
      <c r="F642" s="1748"/>
      <c r="G642" s="1748"/>
      <c r="H642" s="1748"/>
      <c r="I642" s="1748"/>
      <c r="J642" s="1748"/>
      <c r="K642" s="1748"/>
      <c r="L642" s="1748"/>
      <c r="M642" s="1748"/>
      <c r="N642" s="1748"/>
      <c r="O642" s="1748"/>
      <c r="P642" s="6"/>
      <c r="Q642" s="6"/>
      <c r="R642" s="6"/>
      <c r="S642" s="6"/>
    </row>
    <row r="643" spans="1:19" x14ac:dyDescent="0.2">
      <c r="A643" s="1749"/>
      <c r="B643" s="1749"/>
      <c r="C643" s="1748"/>
      <c r="D643" s="1748"/>
      <c r="E643" s="1748"/>
      <c r="F643" s="1748"/>
      <c r="G643" s="1748"/>
      <c r="H643" s="1748"/>
      <c r="I643" s="1748"/>
      <c r="J643" s="1748"/>
      <c r="K643" s="1748"/>
      <c r="L643" s="1748"/>
      <c r="M643" s="1748"/>
      <c r="N643" s="1748"/>
      <c r="O643" s="1748"/>
      <c r="P643" s="6"/>
      <c r="Q643" s="6"/>
      <c r="R643" s="6"/>
      <c r="S643" s="6"/>
    </row>
    <row r="644" spans="1:19" x14ac:dyDescent="0.2">
      <c r="A644" s="1749"/>
      <c r="B644" s="1749"/>
      <c r="C644" s="1748"/>
      <c r="D644" s="1748"/>
      <c r="E644" s="1748"/>
      <c r="F644" s="1748"/>
      <c r="G644" s="1748"/>
      <c r="H644" s="1748"/>
      <c r="I644" s="1748"/>
      <c r="J644" s="1748"/>
      <c r="K644" s="1748"/>
      <c r="L644" s="1748"/>
      <c r="M644" s="1748"/>
      <c r="N644" s="1748"/>
      <c r="O644" s="1748"/>
      <c r="P644" s="6"/>
      <c r="Q644" s="6"/>
      <c r="R644" s="6"/>
      <c r="S644" s="6"/>
    </row>
    <row r="645" spans="1:19" x14ac:dyDescent="0.2">
      <c r="A645" s="1749"/>
      <c r="B645" s="1749"/>
      <c r="C645" s="1748"/>
      <c r="D645" s="1748"/>
      <c r="E645" s="1748"/>
      <c r="F645" s="1748"/>
      <c r="G645" s="1748"/>
      <c r="H645" s="1748"/>
      <c r="I645" s="1748"/>
      <c r="J645" s="1748"/>
      <c r="K645" s="1748"/>
      <c r="L645" s="1748"/>
      <c r="M645" s="1748"/>
      <c r="N645" s="1748"/>
      <c r="O645" s="1748"/>
      <c r="P645" s="6"/>
      <c r="Q645" s="6"/>
      <c r="R645" s="6"/>
      <c r="S645" s="6"/>
    </row>
    <row r="646" spans="1:19" x14ac:dyDescent="0.2">
      <c r="A646" s="1749"/>
      <c r="B646" s="1749"/>
      <c r="C646" s="1748"/>
      <c r="D646" s="1748"/>
      <c r="E646" s="1748"/>
      <c r="F646" s="1748"/>
      <c r="G646" s="1748"/>
      <c r="H646" s="1748"/>
      <c r="I646" s="1748"/>
      <c r="J646" s="1748"/>
      <c r="K646" s="1748"/>
      <c r="L646" s="1748"/>
      <c r="M646" s="1748"/>
      <c r="N646" s="1748"/>
      <c r="O646" s="1748"/>
      <c r="P646" s="6"/>
      <c r="Q646" s="6"/>
      <c r="R646" s="6"/>
      <c r="S646" s="6"/>
    </row>
    <row r="647" spans="1:19" x14ac:dyDescent="0.2">
      <c r="A647" s="1749"/>
      <c r="B647" s="1749"/>
      <c r="C647" s="1748"/>
      <c r="D647" s="1748"/>
      <c r="E647" s="1748"/>
      <c r="F647" s="1748"/>
      <c r="G647" s="1748"/>
      <c r="H647" s="1748"/>
      <c r="I647" s="1748"/>
      <c r="J647" s="1748"/>
      <c r="K647" s="1748"/>
      <c r="L647" s="1748"/>
      <c r="M647" s="1748"/>
      <c r="N647" s="1748"/>
      <c r="O647" s="1748"/>
      <c r="P647" s="6"/>
      <c r="Q647" s="6"/>
      <c r="R647" s="6"/>
      <c r="S647" s="6"/>
    </row>
    <row r="648" spans="1:19" x14ac:dyDescent="0.2">
      <c r="A648" s="1749"/>
      <c r="B648" s="1749"/>
      <c r="C648" s="1748"/>
      <c r="D648" s="1748"/>
      <c r="E648" s="1748"/>
      <c r="F648" s="1748"/>
      <c r="G648" s="1748"/>
      <c r="H648" s="1748"/>
      <c r="I648" s="1748"/>
      <c r="J648" s="1748"/>
      <c r="K648" s="1748"/>
      <c r="L648" s="1748"/>
      <c r="M648" s="1748"/>
      <c r="N648" s="1748"/>
      <c r="O648" s="1748"/>
      <c r="P648" s="6"/>
      <c r="Q648" s="6"/>
      <c r="R648" s="6"/>
      <c r="S648" s="6"/>
    </row>
    <row r="649" spans="1:19" x14ac:dyDescent="0.2">
      <c r="A649" s="1749"/>
      <c r="B649" s="1749"/>
      <c r="C649" s="1748"/>
      <c r="D649" s="1748"/>
      <c r="E649" s="1748"/>
      <c r="F649" s="1748"/>
      <c r="G649" s="1748"/>
      <c r="H649" s="1748"/>
      <c r="I649" s="1748"/>
      <c r="J649" s="1748"/>
      <c r="K649" s="1748"/>
      <c r="L649" s="1748"/>
      <c r="M649" s="1748"/>
      <c r="N649" s="1748"/>
      <c r="O649" s="1748"/>
      <c r="P649" s="6"/>
      <c r="Q649" s="6"/>
      <c r="R649" s="6"/>
      <c r="S649" s="6"/>
    </row>
    <row r="650" spans="1:19" x14ac:dyDescent="0.2">
      <c r="A650" s="1749"/>
      <c r="B650" s="1749"/>
      <c r="C650" s="1748"/>
      <c r="D650" s="1748"/>
      <c r="E650" s="1748"/>
      <c r="F650" s="1748"/>
      <c r="G650" s="1748"/>
      <c r="H650" s="1748"/>
      <c r="I650" s="1748"/>
      <c r="J650" s="1748"/>
      <c r="K650" s="1748"/>
      <c r="L650" s="1748"/>
      <c r="M650" s="1748"/>
      <c r="N650" s="1748"/>
      <c r="O650" s="1748"/>
      <c r="P650" s="6"/>
      <c r="Q650" s="6"/>
      <c r="R650" s="6"/>
      <c r="S650" s="6"/>
    </row>
    <row r="651" spans="1:19" x14ac:dyDescent="0.2">
      <c r="A651" s="1749"/>
      <c r="B651" s="1749"/>
      <c r="C651" s="1748"/>
      <c r="D651" s="1748"/>
      <c r="E651" s="1748"/>
      <c r="F651" s="1748"/>
      <c r="G651" s="1748"/>
      <c r="H651" s="1748"/>
      <c r="I651" s="1748"/>
      <c r="J651" s="1748"/>
      <c r="K651" s="1748"/>
      <c r="L651" s="1748"/>
      <c r="M651" s="1748"/>
      <c r="N651" s="1748"/>
      <c r="O651" s="1748"/>
      <c r="P651" s="6"/>
      <c r="Q651" s="6"/>
      <c r="R651" s="6"/>
      <c r="S651" s="6"/>
    </row>
    <row r="652" spans="1:19" x14ac:dyDescent="0.2">
      <c r="A652" s="1749"/>
      <c r="B652" s="1749"/>
      <c r="C652" s="1748"/>
      <c r="D652" s="1748"/>
      <c r="E652" s="1748"/>
      <c r="F652" s="1748"/>
      <c r="G652" s="1748"/>
      <c r="H652" s="1748"/>
      <c r="I652" s="1748"/>
      <c r="J652" s="1748"/>
      <c r="K652" s="1748"/>
      <c r="L652" s="1748"/>
      <c r="M652" s="1748"/>
      <c r="N652" s="1748"/>
      <c r="O652" s="1748"/>
      <c r="P652" s="6"/>
      <c r="Q652" s="6"/>
      <c r="R652" s="6"/>
      <c r="S652" s="6"/>
    </row>
    <row r="653" spans="1:19" x14ac:dyDescent="0.2">
      <c r="A653" s="1749"/>
      <c r="B653" s="1749"/>
      <c r="C653" s="1748"/>
      <c r="D653" s="1748"/>
      <c r="E653" s="1748"/>
      <c r="F653" s="1748"/>
      <c r="G653" s="1748"/>
      <c r="H653" s="1748"/>
      <c r="I653" s="1748"/>
      <c r="J653" s="1748"/>
      <c r="K653" s="1748"/>
      <c r="L653" s="1748"/>
      <c r="M653" s="1748"/>
      <c r="N653" s="1748"/>
      <c r="O653" s="1748"/>
      <c r="P653" s="6"/>
      <c r="Q653" s="6"/>
      <c r="R653" s="6"/>
      <c r="S653" s="6"/>
    </row>
    <row r="654" spans="1:19" x14ac:dyDescent="0.2">
      <c r="A654" s="1749"/>
      <c r="B654" s="1749"/>
      <c r="C654" s="1748"/>
      <c r="D654" s="1748"/>
      <c r="E654" s="1748"/>
      <c r="F654" s="1748"/>
      <c r="G654" s="1748"/>
      <c r="H654" s="1748"/>
      <c r="I654" s="1748"/>
      <c r="J654" s="1748"/>
      <c r="K654" s="1748"/>
      <c r="L654" s="1748"/>
      <c r="M654" s="1748"/>
      <c r="N654" s="1748"/>
      <c r="O654" s="1748"/>
      <c r="P654" s="6"/>
      <c r="Q654" s="6"/>
      <c r="R654" s="6"/>
      <c r="S654" s="6"/>
    </row>
    <row r="655" spans="1:19" x14ac:dyDescent="0.2">
      <c r="A655" s="1749"/>
      <c r="B655" s="1749"/>
      <c r="C655" s="1748"/>
      <c r="D655" s="1748"/>
      <c r="E655" s="1748"/>
      <c r="F655" s="1748"/>
      <c r="G655" s="1748"/>
      <c r="H655" s="1748"/>
      <c r="I655" s="1748"/>
      <c r="J655" s="1748"/>
      <c r="K655" s="1748"/>
      <c r="L655" s="1748"/>
      <c r="M655" s="1748"/>
      <c r="N655" s="1748"/>
      <c r="O655" s="1748"/>
      <c r="P655" s="6"/>
      <c r="Q655" s="6"/>
      <c r="R655" s="6"/>
      <c r="S655" s="6"/>
    </row>
    <row r="656" spans="1:19" x14ac:dyDescent="0.2">
      <c r="A656" s="1749"/>
      <c r="B656" s="1749"/>
      <c r="C656" s="1748"/>
      <c r="D656" s="1748"/>
      <c r="E656" s="1748"/>
      <c r="F656" s="1748"/>
      <c r="G656" s="1748"/>
      <c r="H656" s="1748"/>
      <c r="I656" s="1748"/>
      <c r="J656" s="1748"/>
      <c r="K656" s="1748"/>
      <c r="L656" s="1748"/>
      <c r="M656" s="1748"/>
      <c r="N656" s="1748"/>
      <c r="O656" s="1748"/>
      <c r="P656" s="6"/>
      <c r="Q656" s="6"/>
      <c r="R656" s="6"/>
      <c r="S656" s="6"/>
    </row>
    <row r="657" spans="1:19" x14ac:dyDescent="0.2">
      <c r="A657" s="1749"/>
      <c r="B657" s="1749"/>
      <c r="C657" s="1748"/>
      <c r="D657" s="1748"/>
      <c r="E657" s="1748"/>
      <c r="F657" s="1748"/>
      <c r="G657" s="1748"/>
      <c r="H657" s="1748"/>
      <c r="I657" s="1748"/>
      <c r="J657" s="1748"/>
      <c r="K657" s="1748"/>
      <c r="L657" s="1748"/>
      <c r="M657" s="1748"/>
      <c r="N657" s="1748"/>
      <c r="O657" s="1748"/>
      <c r="P657" s="6"/>
      <c r="Q657" s="6"/>
      <c r="R657" s="6"/>
      <c r="S657" s="6"/>
    </row>
    <row r="658" spans="1:19" x14ac:dyDescent="0.2">
      <c r="A658" s="1749"/>
      <c r="B658" s="1749"/>
      <c r="C658" s="1748"/>
      <c r="D658" s="1748"/>
      <c r="E658" s="1748"/>
      <c r="F658" s="1748"/>
      <c r="G658" s="1748"/>
      <c r="H658" s="1748"/>
      <c r="I658" s="1748"/>
      <c r="J658" s="1748"/>
      <c r="K658" s="1748"/>
      <c r="L658" s="1748"/>
      <c r="M658" s="1748"/>
      <c r="N658" s="1748"/>
      <c r="O658" s="1748"/>
      <c r="P658" s="6"/>
      <c r="Q658" s="6"/>
      <c r="R658" s="6"/>
      <c r="S658" s="6"/>
    </row>
    <row r="659" spans="1:19" x14ac:dyDescent="0.2">
      <c r="A659" s="1749"/>
      <c r="B659" s="1749"/>
      <c r="C659" s="1748"/>
      <c r="D659" s="1748"/>
      <c r="E659" s="1748"/>
      <c r="F659" s="1748"/>
      <c r="G659" s="1748"/>
      <c r="H659" s="1748"/>
      <c r="I659" s="1748"/>
      <c r="J659" s="1748"/>
      <c r="K659" s="1748"/>
      <c r="L659" s="1748"/>
      <c r="M659" s="1748"/>
      <c r="N659" s="1748"/>
      <c r="O659" s="1748"/>
      <c r="P659" s="6"/>
      <c r="Q659" s="6"/>
      <c r="R659" s="6"/>
      <c r="S659" s="6"/>
    </row>
    <row r="660" spans="1:19" x14ac:dyDescent="0.2">
      <c r="A660" s="1749"/>
      <c r="B660" s="1749"/>
      <c r="C660" s="1748"/>
      <c r="D660" s="1748"/>
      <c r="E660" s="1748"/>
      <c r="F660" s="1748"/>
      <c r="G660" s="1748"/>
      <c r="H660" s="1748"/>
      <c r="I660" s="1748"/>
      <c r="J660" s="1748"/>
      <c r="K660" s="1748"/>
      <c r="L660" s="1748"/>
      <c r="M660" s="1748"/>
      <c r="N660" s="1748"/>
      <c r="O660" s="1748"/>
      <c r="P660" s="6"/>
      <c r="Q660" s="6"/>
      <c r="R660" s="6"/>
      <c r="S660" s="6"/>
    </row>
    <row r="661" spans="1:19" x14ac:dyDescent="0.2">
      <c r="A661" s="1749"/>
      <c r="B661" s="1749"/>
      <c r="C661" s="1748"/>
      <c r="D661" s="1748"/>
      <c r="E661" s="1748"/>
      <c r="F661" s="1748"/>
      <c r="G661" s="1748"/>
      <c r="H661" s="1748"/>
      <c r="I661" s="1748"/>
      <c r="J661" s="1748"/>
      <c r="K661" s="1748"/>
      <c r="L661" s="1748"/>
      <c r="M661" s="1748"/>
      <c r="N661" s="1748"/>
      <c r="O661" s="1748"/>
      <c r="P661" s="6"/>
      <c r="Q661" s="6"/>
      <c r="R661" s="6"/>
      <c r="S661" s="6"/>
    </row>
    <row r="662" spans="1:19" x14ac:dyDescent="0.2">
      <c r="A662" s="1749"/>
      <c r="B662" s="1749"/>
      <c r="C662" s="1748"/>
      <c r="D662" s="1748"/>
      <c r="E662" s="1748"/>
      <c r="F662" s="1748"/>
      <c r="G662" s="1748"/>
      <c r="H662" s="1748"/>
      <c r="I662" s="1748"/>
      <c r="J662" s="1748"/>
      <c r="K662" s="1748"/>
      <c r="L662" s="1748"/>
      <c r="M662" s="1748"/>
      <c r="N662" s="1748"/>
      <c r="O662" s="1748"/>
      <c r="P662" s="6"/>
      <c r="Q662" s="6"/>
      <c r="R662" s="6"/>
      <c r="S662" s="6"/>
    </row>
    <row r="663" spans="1:19" x14ac:dyDescent="0.2">
      <c r="A663" s="1749"/>
      <c r="B663" s="1749"/>
      <c r="C663" s="1748"/>
      <c r="D663" s="1748"/>
      <c r="E663" s="1748"/>
      <c r="F663" s="1748"/>
      <c r="G663" s="1748"/>
      <c r="H663" s="1748"/>
      <c r="I663" s="1748"/>
      <c r="J663" s="1748"/>
      <c r="K663" s="1748"/>
      <c r="L663" s="1748"/>
      <c r="M663" s="1748"/>
      <c r="N663" s="1748"/>
      <c r="O663" s="1748"/>
      <c r="P663" s="6"/>
      <c r="Q663" s="6"/>
      <c r="R663" s="6"/>
      <c r="S663" s="6"/>
    </row>
    <row r="664" spans="1:19" x14ac:dyDescent="0.2">
      <c r="A664" s="1749"/>
      <c r="B664" s="1749"/>
      <c r="C664" s="1748"/>
      <c r="D664" s="1748"/>
      <c r="E664" s="1748"/>
      <c r="F664" s="1748"/>
      <c r="G664" s="1748"/>
      <c r="H664" s="1748"/>
      <c r="I664" s="1748"/>
      <c r="J664" s="1748"/>
      <c r="K664" s="1748"/>
      <c r="L664" s="1748"/>
      <c r="M664" s="1748"/>
      <c r="N664" s="1748"/>
      <c r="O664" s="1748"/>
      <c r="P664" s="6"/>
      <c r="Q664" s="6"/>
      <c r="R664" s="6"/>
      <c r="S664" s="6"/>
    </row>
    <row r="665" spans="1:19" x14ac:dyDescent="0.2">
      <c r="A665" s="1749"/>
      <c r="B665" s="1749"/>
      <c r="C665" s="1748"/>
      <c r="D665" s="1748"/>
      <c r="E665" s="1748"/>
      <c r="F665" s="1748"/>
      <c r="G665" s="1748"/>
      <c r="H665" s="1748"/>
      <c r="I665" s="1748"/>
      <c r="J665" s="1748"/>
      <c r="K665" s="1748"/>
      <c r="L665" s="1748"/>
      <c r="M665" s="1748"/>
      <c r="N665" s="1748"/>
      <c r="O665" s="1748"/>
      <c r="P665" s="6"/>
      <c r="Q665" s="6"/>
      <c r="R665" s="6"/>
      <c r="S665" s="6"/>
    </row>
    <row r="666" spans="1:19" x14ac:dyDescent="0.2">
      <c r="A666" s="1749"/>
      <c r="B666" s="1749"/>
      <c r="C666" s="1748"/>
      <c r="D666" s="1748"/>
      <c r="E666" s="1748"/>
      <c r="F666" s="1748"/>
      <c r="G666" s="1748"/>
      <c r="H666" s="1748"/>
      <c r="I666" s="1748"/>
      <c r="J666" s="1748"/>
      <c r="K666" s="1748"/>
      <c r="L666" s="1748"/>
      <c r="M666" s="1748"/>
      <c r="N666" s="1748"/>
      <c r="O666" s="1748"/>
      <c r="P666" s="6"/>
      <c r="Q666" s="6"/>
      <c r="R666" s="6"/>
      <c r="S666" s="6"/>
    </row>
    <row r="667" spans="1:19" x14ac:dyDescent="0.2">
      <c r="A667" s="1749"/>
      <c r="B667" s="1749"/>
      <c r="C667" s="1748"/>
      <c r="D667" s="1748"/>
      <c r="E667" s="1748"/>
      <c r="F667" s="1748"/>
      <c r="G667" s="1748"/>
      <c r="H667" s="1748"/>
      <c r="I667" s="1748"/>
      <c r="J667" s="1748"/>
      <c r="K667" s="1748"/>
      <c r="L667" s="1748"/>
      <c r="M667" s="1748"/>
      <c r="N667" s="1748"/>
      <c r="O667" s="1748"/>
      <c r="P667" s="6"/>
      <c r="Q667" s="6"/>
      <c r="R667" s="6"/>
      <c r="S667" s="6"/>
    </row>
    <row r="668" spans="1:19" x14ac:dyDescent="0.2">
      <c r="A668" s="1749"/>
      <c r="B668" s="1749"/>
      <c r="C668" s="1748"/>
      <c r="D668" s="1748"/>
      <c r="E668" s="1748"/>
      <c r="F668" s="1748"/>
      <c r="G668" s="1748"/>
      <c r="H668" s="1748"/>
      <c r="I668" s="1748"/>
      <c r="J668" s="1748"/>
      <c r="K668" s="1748"/>
      <c r="L668" s="1748"/>
      <c r="M668" s="1748"/>
      <c r="N668" s="1748"/>
      <c r="O668" s="1748"/>
      <c r="P668" s="6"/>
      <c r="Q668" s="6"/>
      <c r="R668" s="6"/>
      <c r="S668" s="6"/>
    </row>
    <row r="669" spans="1:19" x14ac:dyDescent="0.2">
      <c r="A669" s="1749"/>
      <c r="B669" s="1749"/>
      <c r="C669" s="1748"/>
      <c r="D669" s="1748"/>
      <c r="E669" s="1748"/>
      <c r="F669" s="1748"/>
      <c r="G669" s="1748"/>
      <c r="H669" s="1748"/>
      <c r="I669" s="1748"/>
      <c r="J669" s="1748"/>
      <c r="K669" s="1748"/>
      <c r="L669" s="1748"/>
      <c r="M669" s="1748"/>
      <c r="N669" s="1748"/>
      <c r="O669" s="1748"/>
      <c r="P669" s="6"/>
      <c r="Q669" s="6"/>
      <c r="R669" s="6"/>
      <c r="S669" s="6"/>
    </row>
    <row r="670" spans="1:19" x14ac:dyDescent="0.2">
      <c r="A670" s="1749"/>
      <c r="B670" s="1749"/>
      <c r="C670" s="1748"/>
      <c r="D670" s="1748"/>
      <c r="E670" s="1748"/>
      <c r="F670" s="1748"/>
      <c r="G670" s="1748"/>
      <c r="H670" s="1748"/>
      <c r="I670" s="1748"/>
      <c r="J670" s="1748"/>
      <c r="K670" s="1748"/>
      <c r="L670" s="1748"/>
      <c r="M670" s="1748"/>
      <c r="N670" s="1748"/>
      <c r="O670" s="1748"/>
      <c r="P670" s="6"/>
      <c r="Q670" s="6"/>
      <c r="R670" s="6"/>
      <c r="S670" s="6"/>
    </row>
    <row r="671" spans="1:19" x14ac:dyDescent="0.2">
      <c r="A671" s="1749"/>
      <c r="B671" s="1749"/>
      <c r="C671" s="1748"/>
      <c r="D671" s="1748"/>
      <c r="E671" s="1748"/>
      <c r="F671" s="1748"/>
      <c r="G671" s="1748"/>
      <c r="H671" s="1748"/>
      <c r="I671" s="1748"/>
      <c r="J671" s="1748"/>
      <c r="K671" s="1748"/>
      <c r="L671" s="1748"/>
      <c r="M671" s="1748"/>
      <c r="N671" s="1748"/>
      <c r="O671" s="1748"/>
      <c r="P671" s="6"/>
      <c r="Q671" s="6"/>
      <c r="R671" s="6"/>
      <c r="S671" s="6"/>
    </row>
    <row r="672" spans="1:19" x14ac:dyDescent="0.2">
      <c r="A672" s="1749"/>
      <c r="B672" s="1749"/>
      <c r="C672" s="1748"/>
      <c r="D672" s="1748"/>
      <c r="E672" s="1748"/>
      <c r="F672" s="1748"/>
      <c r="G672" s="1748"/>
      <c r="H672" s="1748"/>
      <c r="I672" s="1748"/>
      <c r="J672" s="1748"/>
      <c r="K672" s="1748"/>
      <c r="L672" s="1748"/>
      <c r="M672" s="1748"/>
      <c r="N672" s="1748"/>
      <c r="O672" s="1748"/>
      <c r="P672" s="6"/>
      <c r="Q672" s="6"/>
      <c r="R672" s="6"/>
      <c r="S672" s="6"/>
    </row>
    <row r="673" spans="1:19" x14ac:dyDescent="0.2">
      <c r="A673" s="1749"/>
      <c r="B673" s="1749"/>
      <c r="C673" s="1748"/>
      <c r="D673" s="1748"/>
      <c r="E673" s="1748"/>
      <c r="F673" s="1748"/>
      <c r="G673" s="1748"/>
      <c r="H673" s="1748"/>
      <c r="I673" s="1748"/>
      <c r="J673" s="1748"/>
      <c r="K673" s="1748"/>
      <c r="L673" s="1748"/>
      <c r="M673" s="1748"/>
      <c r="N673" s="1748"/>
      <c r="O673" s="1748"/>
      <c r="P673" s="6"/>
      <c r="Q673" s="6"/>
      <c r="R673" s="6"/>
      <c r="S673" s="6"/>
    </row>
    <row r="674" spans="1:19" x14ac:dyDescent="0.2">
      <c r="A674" s="1749"/>
      <c r="B674" s="1749"/>
      <c r="C674" s="1748"/>
      <c r="D674" s="1748"/>
      <c r="E674" s="1748"/>
      <c r="F674" s="1748"/>
      <c r="G674" s="1748"/>
      <c r="H674" s="1748"/>
      <c r="I674" s="1748"/>
      <c r="J674" s="1748"/>
      <c r="K674" s="1748"/>
      <c r="L674" s="1748"/>
      <c r="M674" s="1748"/>
      <c r="N674" s="1748"/>
      <c r="O674" s="1748"/>
      <c r="P674" s="6"/>
      <c r="Q674" s="6"/>
      <c r="R674" s="6"/>
      <c r="S674" s="6"/>
    </row>
    <row r="675" spans="1:19" x14ac:dyDescent="0.2">
      <c r="A675" s="1749"/>
      <c r="B675" s="1749"/>
      <c r="C675" s="1748"/>
      <c r="D675" s="1748"/>
      <c r="E675" s="1748"/>
      <c r="F675" s="1748"/>
      <c r="G675" s="1748"/>
      <c r="H675" s="1748"/>
      <c r="I675" s="1748"/>
      <c r="J675" s="1748"/>
      <c r="K675" s="1748"/>
      <c r="L675" s="1748"/>
      <c r="M675" s="1748"/>
      <c r="N675" s="1748"/>
      <c r="O675" s="1748"/>
      <c r="P675" s="6"/>
      <c r="Q675" s="6"/>
      <c r="R675" s="6"/>
      <c r="S675" s="6"/>
    </row>
    <row r="676" spans="1:19" x14ac:dyDescent="0.2">
      <c r="A676" s="1749"/>
      <c r="B676" s="1749"/>
      <c r="C676" s="1748"/>
      <c r="D676" s="1748"/>
      <c r="E676" s="1748"/>
      <c r="F676" s="1748"/>
      <c r="G676" s="1748"/>
      <c r="H676" s="1748"/>
      <c r="I676" s="1748"/>
      <c r="J676" s="1748"/>
      <c r="K676" s="1748"/>
      <c r="L676" s="1748"/>
      <c r="M676" s="1748"/>
      <c r="N676" s="1748"/>
      <c r="O676" s="1748"/>
      <c r="P676" s="6"/>
      <c r="Q676" s="6"/>
      <c r="R676" s="6"/>
      <c r="S676" s="6"/>
    </row>
    <row r="677" spans="1:19" x14ac:dyDescent="0.2">
      <c r="A677" s="1749"/>
      <c r="B677" s="1749"/>
      <c r="C677" s="1748"/>
      <c r="D677" s="1748"/>
      <c r="E677" s="1748"/>
      <c r="F677" s="1748"/>
      <c r="G677" s="1748"/>
      <c r="H677" s="1748"/>
      <c r="I677" s="1748"/>
      <c r="J677" s="1748"/>
      <c r="K677" s="1748"/>
      <c r="L677" s="1748"/>
      <c r="M677" s="1748"/>
      <c r="N677" s="1748"/>
      <c r="O677" s="1748"/>
      <c r="P677" s="6"/>
      <c r="Q677" s="6"/>
      <c r="R677" s="6"/>
      <c r="S677" s="6"/>
    </row>
    <row r="678" spans="1:19" x14ac:dyDescent="0.2">
      <c r="A678" s="1749"/>
      <c r="B678" s="1749"/>
      <c r="C678" s="1748"/>
      <c r="D678" s="1748"/>
      <c r="E678" s="1748"/>
      <c r="F678" s="1748"/>
      <c r="G678" s="1748"/>
      <c r="H678" s="1748"/>
      <c r="I678" s="1748"/>
      <c r="J678" s="1748"/>
      <c r="K678" s="1748"/>
      <c r="L678" s="1748"/>
      <c r="M678" s="1748"/>
      <c r="N678" s="1748"/>
      <c r="O678" s="1748"/>
      <c r="P678" s="6"/>
      <c r="Q678" s="6"/>
      <c r="R678" s="6"/>
      <c r="S678" s="6"/>
    </row>
    <row r="679" spans="1:19" x14ac:dyDescent="0.2">
      <c r="A679" s="1749"/>
      <c r="B679" s="1749"/>
      <c r="C679" s="1748"/>
      <c r="D679" s="1748"/>
      <c r="E679" s="1748"/>
      <c r="F679" s="1748"/>
      <c r="G679" s="1748"/>
      <c r="H679" s="1748"/>
      <c r="I679" s="1748"/>
      <c r="J679" s="1748"/>
      <c r="K679" s="1748"/>
      <c r="L679" s="1748"/>
      <c r="M679" s="1748"/>
      <c r="N679" s="1748"/>
      <c r="O679" s="1748"/>
      <c r="P679" s="6"/>
      <c r="Q679" s="6"/>
      <c r="R679" s="6"/>
      <c r="S679" s="6"/>
    </row>
    <row r="680" spans="1:19" x14ac:dyDescent="0.2">
      <c r="A680" s="1749"/>
      <c r="B680" s="1749"/>
      <c r="C680" s="1748"/>
      <c r="D680" s="1748"/>
      <c r="E680" s="1748"/>
      <c r="F680" s="1748"/>
      <c r="G680" s="1748"/>
      <c r="H680" s="1748"/>
      <c r="I680" s="1748"/>
      <c r="J680" s="1748"/>
      <c r="K680" s="1748"/>
      <c r="L680" s="1748"/>
      <c r="M680" s="1748"/>
      <c r="N680" s="1748"/>
      <c r="O680" s="1748"/>
      <c r="P680" s="6"/>
      <c r="Q680" s="6"/>
      <c r="R680" s="6"/>
      <c r="S680" s="6"/>
    </row>
    <row r="681" spans="1:19" x14ac:dyDescent="0.2">
      <c r="A681" s="1749"/>
      <c r="B681" s="1749"/>
      <c r="C681" s="1748"/>
      <c r="D681" s="1748"/>
      <c r="E681" s="1748"/>
      <c r="F681" s="1748"/>
      <c r="G681" s="1748"/>
      <c r="H681" s="1748"/>
      <c r="I681" s="1748"/>
      <c r="J681" s="1748"/>
      <c r="K681" s="1748"/>
      <c r="L681" s="1748"/>
      <c r="M681" s="1748"/>
      <c r="N681" s="1748"/>
      <c r="O681" s="1748"/>
      <c r="P681" s="6"/>
      <c r="Q681" s="6"/>
      <c r="R681" s="6"/>
      <c r="S681" s="6"/>
    </row>
    <row r="682" spans="1:19" x14ac:dyDescent="0.2">
      <c r="A682" s="1749"/>
      <c r="B682" s="1749"/>
      <c r="C682" s="1748"/>
      <c r="D682" s="1748"/>
      <c r="E682" s="1748"/>
      <c r="F682" s="1748"/>
      <c r="G682" s="1748"/>
      <c r="H682" s="1748"/>
      <c r="I682" s="1748"/>
      <c r="J682" s="1748"/>
      <c r="K682" s="1748"/>
      <c r="L682" s="1748"/>
      <c r="M682" s="1748"/>
      <c r="N682" s="1748"/>
      <c r="O682" s="1748"/>
      <c r="P682" s="6"/>
      <c r="Q682" s="6"/>
      <c r="R682" s="6"/>
      <c r="S682" s="6"/>
    </row>
    <row r="683" spans="1:19" x14ac:dyDescent="0.2">
      <c r="A683" s="1749"/>
      <c r="B683" s="1749"/>
      <c r="C683" s="1748"/>
      <c r="D683" s="1748"/>
      <c r="E683" s="1748"/>
      <c r="F683" s="1748"/>
      <c r="G683" s="1748"/>
      <c r="H683" s="1748"/>
      <c r="I683" s="1748"/>
      <c r="J683" s="1748"/>
      <c r="K683" s="1748"/>
      <c r="L683" s="1748"/>
      <c r="M683" s="1748"/>
      <c r="N683" s="1748"/>
      <c r="O683" s="1748"/>
      <c r="P683" s="6"/>
      <c r="Q683" s="6"/>
      <c r="R683" s="6"/>
      <c r="S683" s="6"/>
    </row>
    <row r="684" spans="1:19" x14ac:dyDescent="0.2">
      <c r="A684" s="1749"/>
      <c r="B684" s="1749"/>
      <c r="C684" s="1748"/>
      <c r="D684" s="1748"/>
      <c r="E684" s="1748"/>
      <c r="F684" s="1748"/>
      <c r="G684" s="1748"/>
      <c r="H684" s="1748"/>
      <c r="I684" s="1748"/>
      <c r="J684" s="1748"/>
      <c r="K684" s="1748"/>
      <c r="L684" s="1748"/>
      <c r="M684" s="1748"/>
      <c r="N684" s="1748"/>
      <c r="O684" s="1748"/>
      <c r="P684" s="6"/>
      <c r="Q684" s="6"/>
      <c r="R684" s="6"/>
      <c r="S684" s="6"/>
    </row>
    <row r="685" spans="1:19" x14ac:dyDescent="0.2">
      <c r="A685" s="1749"/>
      <c r="B685" s="1749"/>
      <c r="C685" s="1748"/>
      <c r="D685" s="1748"/>
      <c r="E685" s="1748"/>
      <c r="F685" s="1748"/>
      <c r="G685" s="1748"/>
      <c r="H685" s="1748"/>
      <c r="I685" s="1748"/>
      <c r="J685" s="1748"/>
      <c r="K685" s="1748"/>
      <c r="L685" s="1748"/>
      <c r="M685" s="1748"/>
      <c r="N685" s="1748"/>
      <c r="O685" s="1748"/>
      <c r="P685" s="6"/>
      <c r="Q685" s="6"/>
      <c r="R685" s="6"/>
      <c r="S685" s="6"/>
    </row>
    <row r="686" spans="1:19" x14ac:dyDescent="0.2">
      <c r="A686" s="1749"/>
      <c r="B686" s="1749"/>
      <c r="C686" s="1748"/>
      <c r="D686" s="1748"/>
      <c r="E686" s="1748"/>
      <c r="F686" s="1748"/>
      <c r="G686" s="1748"/>
      <c r="H686" s="1748"/>
      <c r="I686" s="1748"/>
      <c r="J686" s="1748"/>
      <c r="K686" s="1748"/>
      <c r="L686" s="1748"/>
      <c r="M686" s="1748"/>
      <c r="N686" s="1748"/>
      <c r="O686" s="1748"/>
      <c r="P686" s="6"/>
      <c r="Q686" s="6"/>
      <c r="R686" s="6"/>
      <c r="S686" s="6"/>
    </row>
    <row r="687" spans="1:19" x14ac:dyDescent="0.2">
      <c r="A687" s="1749"/>
      <c r="B687" s="1749"/>
      <c r="C687" s="1748"/>
      <c r="D687" s="1748"/>
      <c r="E687" s="1748"/>
      <c r="F687" s="1748"/>
      <c r="G687" s="1748"/>
      <c r="H687" s="1748"/>
      <c r="I687" s="1748"/>
      <c r="J687" s="1748"/>
      <c r="K687" s="1748"/>
      <c r="L687" s="1748"/>
      <c r="M687" s="1748"/>
      <c r="N687" s="1748"/>
      <c r="O687" s="1748"/>
      <c r="P687" s="6"/>
      <c r="Q687" s="6"/>
      <c r="R687" s="6"/>
      <c r="S687" s="6"/>
    </row>
    <row r="688" spans="1:19" x14ac:dyDescent="0.2">
      <c r="A688" s="1749"/>
      <c r="B688" s="1749"/>
      <c r="C688" s="1748"/>
      <c r="D688" s="1748"/>
      <c r="E688" s="1748"/>
      <c r="F688" s="1748"/>
      <c r="G688" s="1748"/>
      <c r="H688" s="1748"/>
      <c r="I688" s="1748"/>
      <c r="J688" s="1748"/>
      <c r="K688" s="1748"/>
      <c r="L688" s="1748"/>
      <c r="M688" s="1748"/>
      <c r="N688" s="1748"/>
      <c r="O688" s="1748"/>
      <c r="P688" s="6"/>
      <c r="Q688" s="6"/>
      <c r="R688" s="6"/>
      <c r="S688" s="6"/>
    </row>
    <row r="689" spans="1:19" x14ac:dyDescent="0.2">
      <c r="A689" s="1749"/>
      <c r="B689" s="1749"/>
      <c r="C689" s="1748"/>
      <c r="D689" s="1748"/>
      <c r="E689" s="1748"/>
      <c r="F689" s="1748"/>
      <c r="G689" s="1748"/>
      <c r="H689" s="1748"/>
      <c r="I689" s="1748"/>
      <c r="J689" s="1748"/>
      <c r="K689" s="1748"/>
      <c r="L689" s="1748"/>
      <c r="M689" s="1748"/>
      <c r="N689" s="1748"/>
      <c r="O689" s="1748"/>
      <c r="P689" s="6"/>
      <c r="Q689" s="6"/>
      <c r="R689" s="6"/>
      <c r="S689" s="6"/>
    </row>
    <row r="690" spans="1:19" x14ac:dyDescent="0.2">
      <c r="A690" s="1749"/>
      <c r="B690" s="1749"/>
      <c r="C690" s="1748"/>
      <c r="D690" s="1748"/>
      <c r="E690" s="1748"/>
      <c r="F690" s="1748"/>
      <c r="G690" s="1748"/>
      <c r="H690" s="1748"/>
      <c r="I690" s="1748"/>
      <c r="J690" s="1748"/>
      <c r="K690" s="1748"/>
      <c r="L690" s="1748"/>
      <c r="M690" s="1748"/>
      <c r="N690" s="1748"/>
      <c r="O690" s="1748"/>
      <c r="P690" s="6"/>
      <c r="Q690" s="6"/>
      <c r="R690" s="6"/>
      <c r="S690" s="6"/>
    </row>
    <row r="691" spans="1:19" x14ac:dyDescent="0.2">
      <c r="A691" s="1749"/>
      <c r="B691" s="1749"/>
      <c r="C691" s="1748"/>
      <c r="D691" s="1748"/>
      <c r="E691" s="1748"/>
      <c r="F691" s="1748"/>
      <c r="G691" s="1748"/>
      <c r="H691" s="1748"/>
      <c r="I691" s="1748"/>
      <c r="J691" s="1748"/>
      <c r="K691" s="1748"/>
      <c r="L691" s="1748"/>
      <c r="M691" s="1748"/>
      <c r="N691" s="1748"/>
      <c r="O691" s="1748"/>
      <c r="P691" s="6"/>
      <c r="Q691" s="6"/>
      <c r="R691" s="6"/>
      <c r="S691" s="6"/>
    </row>
    <row r="692" spans="1:19" x14ac:dyDescent="0.2">
      <c r="A692" s="1749"/>
      <c r="B692" s="1749"/>
      <c r="C692" s="1748"/>
      <c r="D692" s="1748"/>
      <c r="E692" s="1748"/>
      <c r="F692" s="1748"/>
      <c r="G692" s="1748"/>
      <c r="H692" s="1748"/>
      <c r="I692" s="1748"/>
      <c r="J692" s="1748"/>
      <c r="K692" s="1748"/>
      <c r="L692" s="1748"/>
      <c r="M692" s="1748"/>
      <c r="N692" s="1748"/>
      <c r="O692" s="1748"/>
      <c r="P692" s="6"/>
      <c r="Q692" s="6"/>
      <c r="R692" s="6"/>
      <c r="S692" s="6"/>
    </row>
    <row r="693" spans="1:19" x14ac:dyDescent="0.2">
      <c r="A693" s="1749"/>
      <c r="B693" s="1749"/>
      <c r="C693" s="1748"/>
      <c r="D693" s="1748"/>
      <c r="E693" s="1748"/>
      <c r="F693" s="1748"/>
      <c r="G693" s="1748"/>
      <c r="H693" s="1748"/>
      <c r="I693" s="1748"/>
      <c r="J693" s="1748"/>
      <c r="K693" s="1748"/>
      <c r="L693" s="1748"/>
      <c r="M693" s="1748"/>
      <c r="N693" s="1748"/>
      <c r="O693" s="1748"/>
      <c r="P693" s="6"/>
      <c r="Q693" s="6"/>
      <c r="R693" s="6"/>
      <c r="S693" s="6"/>
    </row>
    <row r="694" spans="1:19" x14ac:dyDescent="0.2">
      <c r="A694" s="1749"/>
      <c r="B694" s="1749"/>
      <c r="C694" s="1748"/>
      <c r="D694" s="1748"/>
      <c r="E694" s="1748"/>
      <c r="F694" s="1748"/>
      <c r="G694" s="1748"/>
      <c r="H694" s="1748"/>
      <c r="I694" s="1748"/>
      <c r="J694" s="1748"/>
      <c r="K694" s="1748"/>
      <c r="L694" s="1748"/>
      <c r="M694" s="1748"/>
      <c r="N694" s="1748"/>
      <c r="O694" s="1748"/>
      <c r="P694" s="6"/>
      <c r="Q694" s="6"/>
      <c r="R694" s="6"/>
      <c r="S694" s="6"/>
    </row>
    <row r="695" spans="1:19" x14ac:dyDescent="0.2">
      <c r="A695" s="1749"/>
      <c r="B695" s="1749"/>
      <c r="C695" s="1748"/>
      <c r="D695" s="1748"/>
      <c r="E695" s="1748"/>
      <c r="F695" s="1748"/>
      <c r="G695" s="1748"/>
      <c r="H695" s="1748"/>
      <c r="I695" s="1748"/>
      <c r="J695" s="1748"/>
      <c r="K695" s="1748"/>
      <c r="L695" s="1748"/>
      <c r="M695" s="1748"/>
      <c r="N695" s="1748"/>
      <c r="O695" s="1748"/>
      <c r="P695" s="6"/>
      <c r="Q695" s="6"/>
      <c r="R695" s="6"/>
      <c r="S695" s="6"/>
    </row>
    <row r="696" spans="1:19" x14ac:dyDescent="0.2">
      <c r="A696" s="1749"/>
      <c r="B696" s="1749"/>
      <c r="C696" s="1748"/>
      <c r="D696" s="1748"/>
      <c r="E696" s="1748"/>
      <c r="F696" s="1748"/>
      <c r="G696" s="1748"/>
      <c r="H696" s="1748"/>
      <c r="I696" s="1748"/>
      <c r="J696" s="1748"/>
      <c r="K696" s="1748"/>
      <c r="L696" s="1748"/>
      <c r="M696" s="1748"/>
      <c r="N696" s="1748"/>
      <c r="O696" s="1748"/>
      <c r="P696" s="6"/>
      <c r="Q696" s="6"/>
      <c r="R696" s="6"/>
      <c r="S696" s="6"/>
    </row>
    <row r="697" spans="1:19" x14ac:dyDescent="0.2">
      <c r="A697" s="1749"/>
      <c r="B697" s="1749"/>
      <c r="C697" s="1748"/>
      <c r="D697" s="1748"/>
      <c r="E697" s="1748"/>
      <c r="F697" s="1748"/>
      <c r="G697" s="1748"/>
      <c r="H697" s="1748"/>
      <c r="I697" s="1748"/>
      <c r="J697" s="1748"/>
      <c r="K697" s="1748"/>
      <c r="L697" s="1748"/>
      <c r="M697" s="1748"/>
      <c r="N697" s="1748"/>
      <c r="O697" s="1748"/>
      <c r="P697" s="6"/>
      <c r="Q697" s="6"/>
      <c r="R697" s="6"/>
      <c r="S697" s="6"/>
    </row>
    <row r="698" spans="1:19" x14ac:dyDescent="0.2">
      <c r="A698" s="1749"/>
      <c r="B698" s="1749"/>
      <c r="C698" s="1748"/>
      <c r="D698" s="1748"/>
      <c r="E698" s="1748"/>
      <c r="F698" s="1748"/>
      <c r="G698" s="1748"/>
      <c r="H698" s="1748"/>
      <c r="I698" s="1748"/>
      <c r="J698" s="1748"/>
      <c r="K698" s="1748"/>
      <c r="L698" s="1748"/>
      <c r="M698" s="1748"/>
      <c r="N698" s="1748"/>
      <c r="O698" s="1748"/>
      <c r="P698" s="6"/>
      <c r="Q698" s="6"/>
      <c r="R698" s="6"/>
      <c r="S698" s="6"/>
    </row>
    <row r="699" spans="1:19" x14ac:dyDescent="0.2">
      <c r="A699" s="1749"/>
      <c r="B699" s="1749"/>
      <c r="C699" s="1748"/>
      <c r="D699" s="1748"/>
      <c r="E699" s="1748"/>
      <c r="F699" s="1748"/>
      <c r="G699" s="1748"/>
      <c r="H699" s="1748"/>
      <c r="I699" s="1748"/>
      <c r="J699" s="1748"/>
      <c r="K699" s="1748"/>
      <c r="L699" s="1748"/>
      <c r="M699" s="1748"/>
      <c r="N699" s="1748"/>
      <c r="O699" s="1748"/>
      <c r="P699" s="6"/>
      <c r="Q699" s="6"/>
      <c r="R699" s="6"/>
      <c r="S699" s="6"/>
    </row>
    <row r="700" spans="1:19" x14ac:dyDescent="0.2">
      <c r="A700" s="1749"/>
      <c r="B700" s="1749"/>
      <c r="C700" s="1748"/>
      <c r="D700" s="1748"/>
      <c r="E700" s="1748"/>
      <c r="F700" s="1748"/>
      <c r="G700" s="1748"/>
      <c r="H700" s="1748"/>
      <c r="I700" s="1748"/>
      <c r="J700" s="1748"/>
      <c r="K700" s="1748"/>
      <c r="L700" s="1748"/>
      <c r="M700" s="1748"/>
      <c r="N700" s="1748"/>
      <c r="O700" s="1748"/>
      <c r="P700" s="6"/>
      <c r="Q700" s="6"/>
      <c r="R700" s="6"/>
      <c r="S700" s="6"/>
    </row>
    <row r="701" spans="1:19" x14ac:dyDescent="0.2">
      <c r="A701" s="1749"/>
      <c r="B701" s="1749"/>
      <c r="C701" s="1748"/>
      <c r="D701" s="1748"/>
      <c r="E701" s="1748"/>
      <c r="F701" s="1748"/>
      <c r="G701" s="1748"/>
      <c r="H701" s="1748"/>
      <c r="I701" s="1748"/>
      <c r="J701" s="1748"/>
      <c r="K701" s="1748"/>
      <c r="L701" s="1748"/>
      <c r="M701" s="1748"/>
      <c r="N701" s="1748"/>
      <c r="O701" s="1748"/>
      <c r="P701" s="6"/>
      <c r="Q701" s="6"/>
      <c r="R701" s="6"/>
      <c r="S701" s="6"/>
    </row>
    <row r="702" spans="1:19" x14ac:dyDescent="0.2">
      <c r="A702" s="1749"/>
      <c r="B702" s="1749"/>
      <c r="C702" s="1748"/>
      <c r="D702" s="1748"/>
      <c r="E702" s="1748"/>
      <c r="F702" s="1748"/>
      <c r="G702" s="1748"/>
      <c r="H702" s="1748"/>
      <c r="I702" s="1748"/>
      <c r="J702" s="1748"/>
      <c r="K702" s="1748"/>
      <c r="L702" s="1748"/>
      <c r="M702" s="1748"/>
      <c r="N702" s="1748"/>
      <c r="O702" s="1748"/>
      <c r="P702" s="6"/>
      <c r="Q702" s="6"/>
      <c r="R702" s="6"/>
      <c r="S702" s="6"/>
    </row>
    <row r="703" spans="1:19" x14ac:dyDescent="0.2">
      <c r="A703" s="1749"/>
      <c r="B703" s="1749"/>
      <c r="C703" s="1748"/>
      <c r="D703" s="1748"/>
      <c r="E703" s="1748"/>
      <c r="F703" s="1748"/>
      <c r="G703" s="1748"/>
      <c r="H703" s="1748"/>
      <c r="I703" s="1748"/>
      <c r="J703" s="1748"/>
      <c r="K703" s="1748"/>
      <c r="L703" s="1748"/>
      <c r="M703" s="1748"/>
      <c r="N703" s="1748"/>
      <c r="O703" s="1748"/>
      <c r="P703" s="6"/>
      <c r="Q703" s="6"/>
      <c r="R703" s="6"/>
      <c r="S703" s="6"/>
    </row>
    <row r="704" spans="1:19" x14ac:dyDescent="0.2">
      <c r="A704" s="1749"/>
      <c r="B704" s="1749"/>
      <c r="C704" s="1748"/>
      <c r="D704" s="1748"/>
      <c r="E704" s="1748"/>
      <c r="F704" s="1748"/>
      <c r="G704" s="1748"/>
      <c r="H704" s="1748"/>
      <c r="I704" s="1748"/>
      <c r="J704" s="1748"/>
      <c r="K704" s="1748"/>
      <c r="L704" s="1748"/>
      <c r="M704" s="1748"/>
      <c r="N704" s="1748"/>
      <c r="O704" s="1748"/>
      <c r="P704" s="6"/>
      <c r="Q704" s="6"/>
      <c r="R704" s="6"/>
      <c r="S704" s="6"/>
    </row>
    <row r="705" spans="1:19" x14ac:dyDescent="0.2">
      <c r="A705" s="1749"/>
      <c r="B705" s="1749"/>
      <c r="C705" s="1748"/>
      <c r="D705" s="1748"/>
      <c r="E705" s="1748"/>
      <c r="F705" s="1748"/>
      <c r="G705" s="1748"/>
      <c r="H705" s="1748"/>
      <c r="I705" s="1748"/>
      <c r="J705" s="1748"/>
      <c r="K705" s="1748"/>
      <c r="L705" s="1748"/>
      <c r="M705" s="1748"/>
      <c r="N705" s="1748"/>
      <c r="O705" s="1748"/>
      <c r="P705" s="6"/>
      <c r="Q705" s="6"/>
      <c r="R705" s="6"/>
      <c r="S705" s="6"/>
    </row>
    <row r="706" spans="1:19" x14ac:dyDescent="0.2">
      <c r="A706" s="1749"/>
      <c r="B706" s="1749"/>
      <c r="C706" s="1748"/>
      <c r="D706" s="1748"/>
      <c r="E706" s="1748"/>
      <c r="F706" s="1748"/>
      <c r="G706" s="1748"/>
      <c r="H706" s="1748"/>
      <c r="I706" s="1748"/>
      <c r="J706" s="1748"/>
      <c r="K706" s="1748"/>
      <c r="L706" s="1748"/>
      <c r="M706" s="1748"/>
      <c r="N706" s="1748"/>
      <c r="O706" s="1748"/>
      <c r="P706" s="6"/>
      <c r="Q706" s="6"/>
      <c r="R706" s="6"/>
      <c r="S706" s="6"/>
    </row>
    <row r="707" spans="1:19" x14ac:dyDescent="0.2">
      <c r="A707" s="1749"/>
      <c r="B707" s="1749"/>
      <c r="C707" s="1748"/>
      <c r="D707" s="1748"/>
      <c r="E707" s="1748"/>
      <c r="F707" s="1748"/>
      <c r="G707" s="1748"/>
      <c r="H707" s="1748"/>
      <c r="I707" s="1748"/>
      <c r="J707" s="1748"/>
      <c r="K707" s="1748"/>
      <c r="L707" s="1748"/>
      <c r="M707" s="1748"/>
      <c r="N707" s="1748"/>
      <c r="O707" s="1748"/>
      <c r="P707" s="6"/>
      <c r="Q707" s="6"/>
      <c r="R707" s="6"/>
      <c r="S707" s="6"/>
    </row>
    <row r="708" spans="1:19" x14ac:dyDescent="0.2">
      <c r="A708" s="1749"/>
      <c r="B708" s="1749"/>
      <c r="C708" s="1748"/>
      <c r="D708" s="1748"/>
      <c r="E708" s="1748"/>
      <c r="F708" s="1748"/>
      <c r="G708" s="1748"/>
      <c r="H708" s="1748"/>
      <c r="I708" s="1748"/>
      <c r="J708" s="1748"/>
      <c r="K708" s="1748"/>
      <c r="L708" s="1748"/>
      <c r="M708" s="1748"/>
      <c r="N708" s="1748"/>
      <c r="O708" s="1748"/>
      <c r="P708" s="6"/>
      <c r="Q708" s="6"/>
      <c r="R708" s="6"/>
      <c r="S708" s="6"/>
    </row>
    <row r="709" spans="1:19" x14ac:dyDescent="0.2">
      <c r="A709" s="1749"/>
      <c r="B709" s="1749"/>
      <c r="C709" s="1748"/>
      <c r="D709" s="1748"/>
      <c r="E709" s="1748"/>
      <c r="F709" s="1748"/>
      <c r="G709" s="1748"/>
      <c r="H709" s="1748"/>
      <c r="I709" s="1748"/>
      <c r="J709" s="1748"/>
      <c r="K709" s="1748"/>
      <c r="L709" s="1748"/>
      <c r="M709" s="1748"/>
      <c r="N709" s="1748"/>
      <c r="O709" s="1748"/>
      <c r="P709" s="6"/>
      <c r="Q709" s="6"/>
      <c r="R709" s="6"/>
      <c r="S709" s="6"/>
    </row>
    <row r="710" spans="1:19" x14ac:dyDescent="0.2">
      <c r="A710" s="1749"/>
      <c r="B710" s="1749"/>
      <c r="C710" s="1748"/>
      <c r="D710" s="1748"/>
      <c r="E710" s="1748"/>
      <c r="F710" s="1748"/>
      <c r="G710" s="1748"/>
      <c r="H710" s="1748"/>
      <c r="I710" s="1748"/>
      <c r="J710" s="1748"/>
      <c r="K710" s="1748"/>
      <c r="L710" s="1748"/>
      <c r="M710" s="1748"/>
      <c r="N710" s="1748"/>
      <c r="O710" s="1748"/>
      <c r="P710" s="6"/>
      <c r="Q710" s="6"/>
      <c r="R710" s="6"/>
      <c r="S710" s="6"/>
    </row>
    <row r="711" spans="1:19" x14ac:dyDescent="0.2">
      <c r="A711" s="1749"/>
      <c r="B711" s="1749"/>
      <c r="C711" s="1748"/>
      <c r="D711" s="1748"/>
      <c r="E711" s="1748"/>
      <c r="F711" s="1748"/>
      <c r="G711" s="1748"/>
      <c r="H711" s="1748"/>
      <c r="I711" s="1748"/>
      <c r="J711" s="1748"/>
      <c r="K711" s="1748"/>
      <c r="L711" s="1748"/>
      <c r="M711" s="1748"/>
      <c r="N711" s="1748"/>
      <c r="O711" s="1748"/>
      <c r="P711" s="6"/>
      <c r="Q711" s="6"/>
      <c r="R711" s="6"/>
      <c r="S711" s="6"/>
    </row>
    <row r="712" spans="1:19" x14ac:dyDescent="0.2">
      <c r="A712" s="1749"/>
      <c r="B712" s="1749"/>
      <c r="C712" s="1748"/>
      <c r="D712" s="1748"/>
      <c r="E712" s="1748"/>
      <c r="F712" s="1748"/>
      <c r="G712" s="1748"/>
      <c r="H712" s="1748"/>
      <c r="I712" s="1748"/>
      <c r="J712" s="1748"/>
      <c r="K712" s="1748"/>
      <c r="L712" s="1748"/>
      <c r="M712" s="1748"/>
      <c r="N712" s="1748"/>
      <c r="O712" s="1748"/>
      <c r="P712" s="6"/>
      <c r="Q712" s="6"/>
      <c r="R712" s="6"/>
      <c r="S712" s="6"/>
    </row>
    <row r="713" spans="1:19" x14ac:dyDescent="0.2">
      <c r="A713" s="1749"/>
      <c r="B713" s="1749"/>
      <c r="C713" s="1748"/>
      <c r="D713" s="1748"/>
      <c r="E713" s="1748"/>
      <c r="F713" s="1748"/>
      <c r="G713" s="1748"/>
      <c r="H713" s="1748"/>
      <c r="I713" s="1748"/>
      <c r="J713" s="1748"/>
      <c r="K713" s="1748"/>
      <c r="L713" s="1748"/>
      <c r="M713" s="1748"/>
      <c r="N713" s="1748"/>
      <c r="O713" s="1748"/>
      <c r="P713" s="6"/>
      <c r="Q713" s="6"/>
      <c r="R713" s="6"/>
      <c r="S713" s="6"/>
    </row>
    <row r="714" spans="1:19" x14ac:dyDescent="0.2">
      <c r="A714" s="1749"/>
      <c r="B714" s="1749"/>
      <c r="C714" s="1748"/>
      <c r="D714" s="1748"/>
      <c r="E714" s="1748"/>
      <c r="F714" s="1748"/>
      <c r="G714" s="1748"/>
      <c r="H714" s="1748"/>
      <c r="I714" s="1748"/>
      <c r="J714" s="1748"/>
      <c r="K714" s="1748"/>
      <c r="L714" s="1748"/>
      <c r="M714" s="1748"/>
      <c r="N714" s="1748"/>
      <c r="O714" s="1748"/>
      <c r="P714" s="6"/>
      <c r="Q714" s="6"/>
      <c r="R714" s="6"/>
      <c r="S714" s="6"/>
    </row>
    <row r="715" spans="1:19" x14ac:dyDescent="0.2">
      <c r="A715" s="1749"/>
      <c r="B715" s="1749"/>
      <c r="C715" s="1748"/>
      <c r="D715" s="1748"/>
      <c r="E715" s="1748"/>
      <c r="F715" s="1748"/>
      <c r="G715" s="1748"/>
      <c r="H715" s="1748"/>
      <c r="I715" s="1748"/>
      <c r="J715" s="1748"/>
      <c r="K715" s="1748"/>
      <c r="L715" s="1748"/>
      <c r="M715" s="1748"/>
      <c r="N715" s="1748"/>
      <c r="O715" s="1748"/>
      <c r="P715" s="6"/>
      <c r="Q715" s="6"/>
      <c r="R715" s="6"/>
      <c r="S715" s="6"/>
    </row>
    <row r="716" spans="1:19" x14ac:dyDescent="0.2">
      <c r="A716" s="1749"/>
      <c r="B716" s="1749"/>
      <c r="C716" s="1748"/>
      <c r="D716" s="1748"/>
      <c r="E716" s="1748"/>
      <c r="F716" s="1748"/>
      <c r="G716" s="1748"/>
      <c r="H716" s="1748"/>
      <c r="I716" s="1748"/>
      <c r="J716" s="1748"/>
      <c r="K716" s="1748"/>
      <c r="L716" s="1748"/>
      <c r="M716" s="1748"/>
      <c r="N716" s="1748"/>
      <c r="O716" s="1748"/>
      <c r="P716" s="6"/>
      <c r="Q716" s="6"/>
      <c r="R716" s="6"/>
      <c r="S716" s="6"/>
    </row>
    <row r="717" spans="1:19" x14ac:dyDescent="0.2">
      <c r="A717" s="1749"/>
      <c r="B717" s="1749"/>
      <c r="C717" s="1748"/>
      <c r="D717" s="1748"/>
      <c r="E717" s="1748"/>
      <c r="F717" s="1748"/>
      <c r="G717" s="1748"/>
      <c r="H717" s="1748"/>
      <c r="I717" s="1748"/>
      <c r="J717" s="1748"/>
      <c r="K717" s="1748"/>
      <c r="L717" s="1748"/>
      <c r="M717" s="1748"/>
      <c r="N717" s="1748"/>
      <c r="O717" s="1748"/>
      <c r="P717" s="6"/>
      <c r="Q717" s="6"/>
      <c r="R717" s="6"/>
      <c r="S717" s="6"/>
    </row>
    <row r="718" spans="1:19" x14ac:dyDescent="0.2">
      <c r="A718" s="1749"/>
      <c r="B718" s="1749"/>
      <c r="C718" s="1748"/>
      <c r="D718" s="1748"/>
      <c r="E718" s="1748"/>
      <c r="F718" s="1748"/>
      <c r="G718" s="1748"/>
      <c r="H718" s="1748"/>
      <c r="I718" s="1748"/>
      <c r="J718" s="1748"/>
      <c r="K718" s="1748"/>
      <c r="L718" s="1748"/>
      <c r="M718" s="1748"/>
      <c r="N718" s="1748"/>
      <c r="O718" s="1748"/>
      <c r="P718" s="6"/>
      <c r="Q718" s="6"/>
      <c r="R718" s="6"/>
      <c r="S718" s="6"/>
    </row>
    <row r="719" spans="1:19" x14ac:dyDescent="0.2">
      <c r="A719" s="1749"/>
      <c r="B719" s="1749"/>
      <c r="C719" s="1748"/>
      <c r="D719" s="1748"/>
      <c r="E719" s="1748"/>
      <c r="F719" s="1748"/>
      <c r="G719" s="1748"/>
      <c r="H719" s="1748"/>
      <c r="I719" s="1748"/>
      <c r="J719" s="1748"/>
      <c r="K719" s="1748"/>
      <c r="L719" s="1748"/>
      <c r="M719" s="1748"/>
      <c r="N719" s="1748"/>
      <c r="O719" s="1748"/>
      <c r="P719" s="6"/>
      <c r="Q719" s="6"/>
      <c r="R719" s="6"/>
      <c r="S719" s="6"/>
    </row>
    <row r="720" spans="1:19" x14ac:dyDescent="0.2">
      <c r="A720" s="1749"/>
      <c r="B720" s="1749"/>
      <c r="C720" s="1748"/>
      <c r="D720" s="1748"/>
      <c r="E720" s="1748"/>
      <c r="F720" s="1748"/>
      <c r="G720" s="1748"/>
      <c r="H720" s="1748"/>
      <c r="I720" s="1748"/>
      <c r="J720" s="1748"/>
      <c r="K720" s="1748"/>
      <c r="L720" s="1748"/>
      <c r="M720" s="1748"/>
      <c r="N720" s="1748"/>
      <c r="O720" s="1748"/>
      <c r="P720" s="6"/>
      <c r="Q720" s="6"/>
      <c r="R720" s="6"/>
      <c r="S720" s="6"/>
    </row>
    <row r="721" spans="1:19" x14ac:dyDescent="0.2">
      <c r="A721" s="1749"/>
      <c r="B721" s="1749"/>
      <c r="C721" s="1748"/>
      <c r="D721" s="1748"/>
      <c r="E721" s="1748"/>
      <c r="F721" s="1748"/>
      <c r="G721" s="1748"/>
      <c r="H721" s="1748"/>
      <c r="I721" s="1748"/>
      <c r="J721" s="1748"/>
      <c r="K721" s="1748"/>
      <c r="L721" s="1748"/>
      <c r="M721" s="1748"/>
      <c r="N721" s="1748"/>
      <c r="O721" s="1748"/>
      <c r="P721" s="6"/>
      <c r="Q721" s="6"/>
      <c r="R721" s="6"/>
      <c r="S721" s="6"/>
    </row>
    <row r="722" spans="1:19" x14ac:dyDescent="0.2">
      <c r="A722" s="1749"/>
      <c r="B722" s="1749"/>
      <c r="C722" s="1748"/>
      <c r="D722" s="1748"/>
      <c r="E722" s="1748"/>
      <c r="F722" s="1748"/>
      <c r="G722" s="1748"/>
      <c r="H722" s="1748"/>
      <c r="I722" s="1748"/>
      <c r="J722" s="1748"/>
      <c r="K722" s="1748"/>
      <c r="L722" s="1748"/>
      <c r="M722" s="1748"/>
      <c r="N722" s="1748"/>
      <c r="O722" s="1748"/>
      <c r="P722" s="6"/>
      <c r="Q722" s="6"/>
      <c r="R722" s="6"/>
      <c r="S722" s="6"/>
    </row>
    <row r="723" spans="1:19" x14ac:dyDescent="0.2">
      <c r="A723" s="1749"/>
      <c r="B723" s="1749"/>
      <c r="C723" s="1748"/>
      <c r="D723" s="1748"/>
      <c r="E723" s="1748"/>
      <c r="F723" s="1748"/>
      <c r="G723" s="1748"/>
      <c r="H723" s="1748"/>
      <c r="I723" s="1748"/>
      <c r="J723" s="1748"/>
      <c r="K723" s="1748"/>
      <c r="L723" s="1748"/>
      <c r="M723" s="1748"/>
      <c r="N723" s="1748"/>
      <c r="O723" s="1748"/>
      <c r="P723" s="6"/>
      <c r="Q723" s="6"/>
      <c r="R723" s="6"/>
      <c r="S723" s="6"/>
    </row>
    <row r="724" spans="1:19" x14ac:dyDescent="0.2">
      <c r="A724" s="1749"/>
      <c r="B724" s="1749"/>
      <c r="C724" s="1748"/>
      <c r="D724" s="1748"/>
      <c r="E724" s="1748"/>
      <c r="F724" s="1748"/>
      <c r="G724" s="1748"/>
      <c r="H724" s="1748"/>
      <c r="I724" s="1748"/>
      <c r="J724" s="1748"/>
      <c r="K724" s="1748"/>
      <c r="L724" s="1748"/>
      <c r="M724" s="1748"/>
      <c r="N724" s="1748"/>
      <c r="O724" s="1748"/>
      <c r="P724" s="6"/>
      <c r="Q724" s="6"/>
      <c r="R724" s="6"/>
      <c r="S724" s="6"/>
    </row>
    <row r="725" spans="1:19" x14ac:dyDescent="0.2">
      <c r="A725" s="1749"/>
      <c r="B725" s="1749"/>
      <c r="C725" s="1748"/>
      <c r="D725" s="1748"/>
      <c r="E725" s="1748"/>
      <c r="F725" s="1748"/>
      <c r="G725" s="1748"/>
      <c r="H725" s="1748"/>
      <c r="I725" s="1748"/>
      <c r="J725" s="1748"/>
      <c r="K725" s="1748"/>
      <c r="L725" s="1748"/>
      <c r="M725" s="1748"/>
      <c r="N725" s="1748"/>
      <c r="O725" s="1748"/>
      <c r="P725" s="6"/>
      <c r="Q725" s="6"/>
      <c r="R725" s="6"/>
      <c r="S725" s="6"/>
    </row>
    <row r="726" spans="1:19" x14ac:dyDescent="0.2">
      <c r="A726" s="1749"/>
      <c r="B726" s="1749"/>
      <c r="C726" s="1748"/>
      <c r="D726" s="1748"/>
      <c r="E726" s="1748"/>
      <c r="F726" s="1748"/>
      <c r="G726" s="1748"/>
      <c r="H726" s="1748"/>
      <c r="I726" s="1748"/>
      <c r="J726" s="1748"/>
      <c r="K726" s="1748"/>
      <c r="L726" s="1748"/>
      <c r="M726" s="1748"/>
      <c r="N726" s="1748"/>
      <c r="O726" s="1748"/>
      <c r="P726" s="6"/>
      <c r="Q726" s="6"/>
      <c r="R726" s="6"/>
      <c r="S726" s="6"/>
    </row>
    <row r="727" spans="1:19" x14ac:dyDescent="0.2">
      <c r="A727" s="1749"/>
      <c r="B727" s="1749"/>
      <c r="C727" s="1748"/>
      <c r="D727" s="1748"/>
      <c r="E727" s="1748"/>
      <c r="F727" s="1748"/>
      <c r="G727" s="1748"/>
      <c r="H727" s="1748"/>
      <c r="I727" s="1748"/>
      <c r="J727" s="1748"/>
      <c r="K727" s="1748"/>
      <c r="L727" s="1748"/>
      <c r="M727" s="1748"/>
      <c r="N727" s="1748"/>
      <c r="O727" s="1748"/>
      <c r="P727" s="6"/>
      <c r="Q727" s="6"/>
      <c r="R727" s="6"/>
      <c r="S727" s="6"/>
    </row>
    <row r="728" spans="1:19" x14ac:dyDescent="0.2">
      <c r="A728" s="1749"/>
      <c r="B728" s="1749"/>
      <c r="C728" s="1748"/>
      <c r="D728" s="1748"/>
      <c r="E728" s="1748"/>
      <c r="F728" s="1748"/>
      <c r="G728" s="1748"/>
      <c r="H728" s="1748"/>
      <c r="I728" s="1748"/>
      <c r="J728" s="1748"/>
      <c r="K728" s="1748"/>
      <c r="L728" s="1748"/>
      <c r="M728" s="1748"/>
      <c r="N728" s="1748"/>
      <c r="O728" s="1748"/>
      <c r="P728" s="6"/>
      <c r="Q728" s="6"/>
      <c r="R728" s="6"/>
      <c r="S728" s="6"/>
    </row>
    <row r="729" spans="1:19" x14ac:dyDescent="0.2">
      <c r="A729" s="1749"/>
      <c r="B729" s="1749"/>
      <c r="C729" s="1748"/>
      <c r="D729" s="1748"/>
      <c r="E729" s="1748"/>
      <c r="F729" s="1748"/>
      <c r="G729" s="1748"/>
      <c r="H729" s="1748"/>
      <c r="I729" s="1748"/>
      <c r="J729" s="1748"/>
      <c r="K729" s="1748"/>
      <c r="L729" s="1748"/>
      <c r="M729" s="1748"/>
      <c r="N729" s="1748"/>
      <c r="O729" s="1748"/>
      <c r="P729" s="6"/>
      <c r="Q729" s="6"/>
      <c r="R729" s="6"/>
      <c r="S729" s="6"/>
    </row>
    <row r="730" spans="1:19" x14ac:dyDescent="0.2">
      <c r="A730" s="1749"/>
      <c r="B730" s="1749"/>
      <c r="C730" s="1748"/>
      <c r="D730" s="1748"/>
      <c r="E730" s="1748"/>
      <c r="F730" s="1748"/>
      <c r="G730" s="1748"/>
      <c r="H730" s="1748"/>
      <c r="I730" s="1748"/>
      <c r="J730" s="1748"/>
      <c r="K730" s="1748"/>
      <c r="L730" s="1748"/>
      <c r="M730" s="1748"/>
      <c r="N730" s="1748"/>
      <c r="O730" s="1748"/>
      <c r="P730" s="6"/>
      <c r="Q730" s="6"/>
      <c r="R730" s="6"/>
      <c r="S730" s="6"/>
    </row>
    <row r="731" spans="1:19" x14ac:dyDescent="0.2">
      <c r="A731" s="1749"/>
      <c r="B731" s="1749"/>
      <c r="C731" s="1748"/>
      <c r="D731" s="1748"/>
      <c r="E731" s="1748"/>
      <c r="F731" s="1748"/>
      <c r="G731" s="1748"/>
      <c r="H731" s="1748"/>
      <c r="I731" s="1748"/>
      <c r="J731" s="1748"/>
      <c r="K731" s="1748"/>
      <c r="L731" s="1748"/>
      <c r="M731" s="1748"/>
      <c r="N731" s="1748"/>
      <c r="O731" s="1748"/>
      <c r="P731" s="6"/>
      <c r="Q731" s="6"/>
      <c r="R731" s="6"/>
      <c r="S731" s="6"/>
    </row>
    <row r="732" spans="1:19" x14ac:dyDescent="0.2">
      <c r="A732" s="1749"/>
      <c r="B732" s="1749"/>
      <c r="C732" s="1748"/>
      <c r="D732" s="1748"/>
      <c r="E732" s="1748"/>
      <c r="F732" s="1748"/>
      <c r="G732" s="1748"/>
      <c r="H732" s="1748"/>
      <c r="I732" s="1748"/>
      <c r="J732" s="1748"/>
      <c r="K732" s="1748"/>
      <c r="L732" s="1748"/>
      <c r="M732" s="1748"/>
      <c r="N732" s="1748"/>
      <c r="O732" s="1748"/>
      <c r="P732" s="6"/>
      <c r="Q732" s="6"/>
      <c r="R732" s="6"/>
      <c r="S732" s="6"/>
    </row>
    <row r="733" spans="1:19" x14ac:dyDescent="0.2">
      <c r="A733" s="1749"/>
      <c r="B733" s="1749"/>
      <c r="C733" s="1748"/>
      <c r="D733" s="1748"/>
      <c r="E733" s="1748"/>
      <c r="F733" s="1748"/>
      <c r="G733" s="1748"/>
      <c r="H733" s="1748"/>
      <c r="I733" s="1748"/>
      <c r="J733" s="1748"/>
      <c r="K733" s="1748"/>
      <c r="L733" s="1748"/>
      <c r="M733" s="1748"/>
      <c r="N733" s="1748"/>
      <c r="O733" s="1748"/>
      <c r="P733" s="6"/>
      <c r="Q733" s="6"/>
      <c r="R733" s="6"/>
      <c r="S733" s="6"/>
    </row>
    <row r="734" spans="1:19" x14ac:dyDescent="0.2">
      <c r="A734" s="1749"/>
      <c r="B734" s="1749"/>
      <c r="C734" s="1748"/>
      <c r="D734" s="1748"/>
      <c r="E734" s="1748"/>
      <c r="F734" s="1748"/>
      <c r="G734" s="1748"/>
      <c r="H734" s="1748"/>
      <c r="I734" s="1748"/>
      <c r="J734" s="1748"/>
      <c r="K734" s="1748"/>
      <c r="L734" s="1748"/>
      <c r="M734" s="1748"/>
      <c r="N734" s="1748"/>
      <c r="O734" s="1748"/>
      <c r="P734" s="6"/>
      <c r="Q734" s="6"/>
      <c r="R734" s="6"/>
      <c r="S734" s="6"/>
    </row>
    <row r="735" spans="1:19" x14ac:dyDescent="0.2">
      <c r="A735" s="1749"/>
      <c r="B735" s="1749"/>
      <c r="C735" s="1748"/>
      <c r="D735" s="1748"/>
      <c r="E735" s="1748"/>
      <c r="F735" s="1748"/>
      <c r="G735" s="1748"/>
      <c r="H735" s="1748"/>
      <c r="I735" s="1748"/>
      <c r="J735" s="1748"/>
      <c r="K735" s="1748"/>
      <c r="L735" s="1748"/>
      <c r="M735" s="1748"/>
      <c r="N735" s="1748"/>
      <c r="O735" s="1748"/>
      <c r="P735" s="6"/>
      <c r="Q735" s="6"/>
      <c r="R735" s="6"/>
      <c r="S735" s="6"/>
    </row>
    <row r="736" spans="1:19" x14ac:dyDescent="0.2">
      <c r="A736" s="1749"/>
      <c r="B736" s="1749"/>
      <c r="C736" s="1748"/>
      <c r="D736" s="1748"/>
      <c r="E736" s="1748"/>
      <c r="F736" s="1748"/>
      <c r="G736" s="1748"/>
      <c r="H736" s="1748"/>
      <c r="I736" s="1748"/>
      <c r="J736" s="1748"/>
      <c r="K736" s="1748"/>
      <c r="L736" s="1748"/>
      <c r="M736" s="1748"/>
      <c r="N736" s="1748"/>
      <c r="O736" s="1748"/>
      <c r="P736" s="6"/>
      <c r="Q736" s="6"/>
      <c r="R736" s="6"/>
      <c r="S736" s="6"/>
    </row>
    <row r="737" spans="1:19" x14ac:dyDescent="0.2">
      <c r="A737" s="1749"/>
      <c r="B737" s="1749"/>
      <c r="C737" s="1748"/>
      <c r="D737" s="1748"/>
      <c r="E737" s="1748"/>
      <c r="F737" s="1748"/>
      <c r="G737" s="1748"/>
      <c r="H737" s="1748"/>
      <c r="I737" s="1748"/>
      <c r="J737" s="1748"/>
      <c r="K737" s="1748"/>
      <c r="L737" s="1748"/>
      <c r="M737" s="1748"/>
      <c r="N737" s="1748"/>
      <c r="O737" s="1748"/>
      <c r="P737" s="6"/>
      <c r="Q737" s="6"/>
      <c r="R737" s="6"/>
      <c r="S737" s="6"/>
    </row>
    <row r="738" spans="1:19" x14ac:dyDescent="0.2">
      <c r="A738" s="1749"/>
      <c r="B738" s="1749"/>
      <c r="C738" s="1748"/>
      <c r="D738" s="1748"/>
      <c r="E738" s="1748"/>
      <c r="F738" s="1748"/>
      <c r="G738" s="1748"/>
      <c r="H738" s="1748"/>
      <c r="I738" s="1748"/>
      <c r="J738" s="1748"/>
      <c r="K738" s="1748"/>
      <c r="L738" s="1748"/>
      <c r="M738" s="1748"/>
      <c r="N738" s="1748"/>
      <c r="O738" s="1748"/>
      <c r="P738" s="6"/>
      <c r="Q738" s="6"/>
      <c r="R738" s="6"/>
      <c r="S738" s="6"/>
    </row>
    <row r="739" spans="1:19" x14ac:dyDescent="0.2">
      <c r="A739" s="1749"/>
      <c r="B739" s="1749"/>
      <c r="C739" s="1748"/>
      <c r="D739" s="1748"/>
      <c r="E739" s="1748"/>
      <c r="F739" s="1748"/>
      <c r="G739" s="1748"/>
      <c r="H739" s="1748"/>
      <c r="I739" s="1748"/>
      <c r="J739" s="1748"/>
      <c r="K739" s="1748"/>
      <c r="L739" s="1748"/>
      <c r="M739" s="1748"/>
      <c r="N739" s="1748"/>
      <c r="O739" s="1748"/>
      <c r="P739" s="6"/>
      <c r="Q739" s="6"/>
      <c r="R739" s="6"/>
      <c r="S739" s="6"/>
    </row>
    <row r="740" spans="1:19" x14ac:dyDescent="0.2">
      <c r="A740" s="1749"/>
      <c r="B740" s="1749"/>
      <c r="C740" s="1748"/>
      <c r="D740" s="1748"/>
      <c r="E740" s="1748"/>
      <c r="F740" s="1748"/>
      <c r="G740" s="1748"/>
      <c r="H740" s="1748"/>
      <c r="I740" s="1748"/>
      <c r="J740" s="1748"/>
      <c r="K740" s="1748"/>
      <c r="L740" s="1748"/>
      <c r="M740" s="1748"/>
      <c r="N740" s="1748"/>
      <c r="O740" s="1748"/>
      <c r="P740" s="6"/>
      <c r="Q740" s="6"/>
      <c r="R740" s="6"/>
      <c r="S740" s="6"/>
    </row>
    <row r="741" spans="1:19" x14ac:dyDescent="0.2">
      <c r="A741" s="1749"/>
      <c r="B741" s="1749"/>
      <c r="C741" s="1748"/>
      <c r="D741" s="1748"/>
      <c r="E741" s="1748"/>
      <c r="F741" s="1748"/>
      <c r="G741" s="1748"/>
      <c r="H741" s="1748"/>
      <c r="I741" s="1748"/>
      <c r="J741" s="1748"/>
      <c r="K741" s="1748"/>
      <c r="L741" s="1748"/>
      <c r="M741" s="1748"/>
      <c r="N741" s="1748"/>
      <c r="O741" s="1748"/>
      <c r="P741" s="6"/>
      <c r="Q741" s="6"/>
      <c r="R741" s="6"/>
      <c r="S741" s="6"/>
    </row>
    <row r="742" spans="1:19" x14ac:dyDescent="0.2">
      <c r="A742" s="1749"/>
      <c r="B742" s="1749"/>
      <c r="C742" s="1748"/>
      <c r="D742" s="1748"/>
      <c r="E742" s="1748"/>
      <c r="F742" s="1748"/>
      <c r="G742" s="1748"/>
      <c r="H742" s="1748"/>
      <c r="I742" s="1748"/>
      <c r="J742" s="1748"/>
      <c r="K742" s="1748"/>
      <c r="L742" s="1748"/>
      <c r="M742" s="1748"/>
      <c r="N742" s="1748"/>
      <c r="O742" s="1748"/>
      <c r="P742" s="6"/>
      <c r="Q742" s="6"/>
      <c r="R742" s="6"/>
      <c r="S742" s="6"/>
    </row>
    <row r="743" spans="1:19" x14ac:dyDescent="0.2">
      <c r="A743" s="1749"/>
      <c r="B743" s="1749"/>
      <c r="C743" s="1748"/>
      <c r="D743" s="1748"/>
      <c r="E743" s="1748"/>
      <c r="F743" s="1748"/>
      <c r="G743" s="1748"/>
      <c r="H743" s="1748"/>
      <c r="I743" s="1748"/>
      <c r="J743" s="1748"/>
      <c r="K743" s="1748"/>
      <c r="L743" s="1748"/>
      <c r="M743" s="1748"/>
      <c r="N743" s="1748"/>
      <c r="O743" s="1748"/>
      <c r="P743" s="6"/>
      <c r="Q743" s="6"/>
      <c r="R743" s="6"/>
      <c r="S743" s="6"/>
    </row>
    <row r="744" spans="1:19" x14ac:dyDescent="0.2">
      <c r="A744" s="1749"/>
      <c r="B744" s="1749"/>
      <c r="C744" s="1748"/>
      <c r="D744" s="1748"/>
      <c r="E744" s="1748"/>
      <c r="F744" s="1748"/>
      <c r="G744" s="1748"/>
      <c r="H744" s="1748"/>
      <c r="I744" s="1748"/>
      <c r="J744" s="1748"/>
      <c r="K744" s="1748"/>
      <c r="L744" s="1748"/>
      <c r="M744" s="1748"/>
      <c r="N744" s="1748"/>
      <c r="O744" s="1748"/>
      <c r="P744" s="6"/>
      <c r="Q744" s="6"/>
      <c r="R744" s="6"/>
      <c r="S744" s="6"/>
    </row>
    <row r="745" spans="1:19" x14ac:dyDescent="0.2">
      <c r="A745" s="1749"/>
      <c r="B745" s="1749"/>
      <c r="C745" s="1748"/>
      <c r="D745" s="1748"/>
      <c r="E745" s="1748"/>
      <c r="F745" s="1748"/>
      <c r="G745" s="1748"/>
      <c r="H745" s="1748"/>
      <c r="I745" s="1748"/>
      <c r="J745" s="1748"/>
      <c r="K745" s="1748"/>
      <c r="L745" s="1748"/>
      <c r="M745" s="1748"/>
      <c r="N745" s="1748"/>
      <c r="O745" s="1748"/>
      <c r="P745" s="6"/>
      <c r="Q745" s="6"/>
      <c r="R745" s="6"/>
      <c r="S745" s="6"/>
    </row>
    <row r="746" spans="1:19" x14ac:dyDescent="0.2">
      <c r="A746" s="1749"/>
      <c r="B746" s="1749"/>
      <c r="C746" s="1748"/>
      <c r="D746" s="1748"/>
      <c r="E746" s="1748"/>
      <c r="F746" s="1748"/>
      <c r="G746" s="1748"/>
      <c r="H746" s="1748"/>
      <c r="I746" s="1748"/>
      <c r="J746" s="1748"/>
      <c r="K746" s="1748"/>
      <c r="L746" s="1748"/>
      <c r="M746" s="1748"/>
      <c r="N746" s="1748"/>
      <c r="O746" s="1748"/>
      <c r="P746" s="6"/>
      <c r="Q746" s="6"/>
      <c r="R746" s="6"/>
      <c r="S746" s="6"/>
    </row>
    <row r="747" spans="1:19" x14ac:dyDescent="0.2">
      <c r="A747" s="1749"/>
      <c r="B747" s="1749"/>
      <c r="C747" s="1748"/>
      <c r="D747" s="1748"/>
      <c r="E747" s="1748"/>
      <c r="F747" s="1748"/>
      <c r="G747" s="1748"/>
      <c r="H747" s="1748"/>
      <c r="I747" s="1748"/>
      <c r="J747" s="1748"/>
      <c r="K747" s="1748"/>
      <c r="L747" s="1748"/>
      <c r="M747" s="1748"/>
      <c r="N747" s="1748"/>
      <c r="O747" s="1748"/>
      <c r="P747" s="6"/>
      <c r="Q747" s="6"/>
      <c r="R747" s="6"/>
      <c r="S747" s="6"/>
    </row>
    <row r="748" spans="1:19" x14ac:dyDescent="0.2">
      <c r="A748" s="1749"/>
      <c r="B748" s="1749"/>
      <c r="C748" s="1748"/>
      <c r="D748" s="1748"/>
      <c r="E748" s="1748"/>
      <c r="F748" s="1748"/>
      <c r="G748" s="1748"/>
      <c r="H748" s="1748"/>
      <c r="I748" s="1748"/>
      <c r="J748" s="1748"/>
      <c r="K748" s="1748"/>
      <c r="L748" s="1748"/>
      <c r="M748" s="1748"/>
      <c r="N748" s="1748"/>
      <c r="O748" s="1748"/>
      <c r="P748" s="6"/>
      <c r="Q748" s="6"/>
      <c r="R748" s="6"/>
      <c r="S748" s="6"/>
    </row>
    <row r="749" spans="1:19" x14ac:dyDescent="0.2">
      <c r="A749" s="1749"/>
      <c r="B749" s="1749"/>
      <c r="C749" s="1748"/>
      <c r="D749" s="1748"/>
      <c r="E749" s="1748"/>
      <c r="F749" s="1748"/>
      <c r="G749" s="1748"/>
      <c r="H749" s="1748"/>
      <c r="I749" s="1748"/>
      <c r="J749" s="1748"/>
      <c r="K749" s="1748"/>
      <c r="L749" s="1748"/>
      <c r="M749" s="1748"/>
      <c r="N749" s="1748"/>
      <c r="O749" s="1748"/>
      <c r="P749" s="6"/>
      <c r="Q749" s="6"/>
      <c r="R749" s="6"/>
      <c r="S749" s="6"/>
    </row>
    <row r="750" spans="1:19" x14ac:dyDescent="0.2">
      <c r="A750" s="1749"/>
      <c r="B750" s="1749"/>
      <c r="C750" s="1748"/>
      <c r="D750" s="1748"/>
      <c r="E750" s="1748"/>
      <c r="F750" s="1748"/>
      <c r="G750" s="1748"/>
      <c r="H750" s="1748"/>
      <c r="I750" s="1748"/>
      <c r="J750" s="1748"/>
      <c r="K750" s="1748"/>
      <c r="L750" s="1748"/>
      <c r="M750" s="1748"/>
      <c r="N750" s="1748"/>
      <c r="O750" s="1748"/>
      <c r="P750" s="6"/>
      <c r="Q750" s="6"/>
      <c r="R750" s="6"/>
      <c r="S750" s="6"/>
    </row>
    <row r="751" spans="1:19" x14ac:dyDescent="0.2">
      <c r="A751" s="1749"/>
      <c r="B751" s="1749"/>
      <c r="C751" s="1748"/>
      <c r="D751" s="1748"/>
      <c r="E751" s="1748"/>
      <c r="F751" s="1748"/>
      <c r="G751" s="1748"/>
      <c r="H751" s="1748"/>
      <c r="I751" s="1748"/>
      <c r="J751" s="1748"/>
      <c r="K751" s="1748"/>
      <c r="L751" s="1748"/>
      <c r="M751" s="1748"/>
      <c r="N751" s="1748"/>
      <c r="O751" s="1748"/>
      <c r="P751" s="6"/>
      <c r="Q751" s="6"/>
      <c r="R751" s="6"/>
      <c r="S751" s="6"/>
    </row>
    <row r="752" spans="1:19" x14ac:dyDescent="0.2">
      <c r="A752" s="1749"/>
      <c r="B752" s="1749"/>
      <c r="C752" s="1748"/>
      <c r="D752" s="1748"/>
      <c r="E752" s="1748"/>
      <c r="F752" s="1748"/>
      <c r="G752" s="1748"/>
      <c r="H752" s="1748"/>
      <c r="I752" s="1748"/>
      <c r="J752" s="1748"/>
      <c r="K752" s="1748"/>
      <c r="L752" s="1748"/>
      <c r="M752" s="1748"/>
      <c r="N752" s="1748"/>
      <c r="O752" s="1748"/>
      <c r="P752" s="6"/>
      <c r="Q752" s="6"/>
      <c r="R752" s="6"/>
      <c r="S752" s="6"/>
    </row>
    <row r="753" spans="1:19" x14ac:dyDescent="0.2">
      <c r="A753" s="1749"/>
      <c r="B753" s="1749"/>
      <c r="C753" s="1748"/>
      <c r="D753" s="1748"/>
      <c r="E753" s="1748"/>
      <c r="F753" s="1748"/>
      <c r="G753" s="1748"/>
      <c r="H753" s="1748"/>
      <c r="I753" s="1748"/>
      <c r="J753" s="1748"/>
      <c r="K753" s="1748"/>
      <c r="L753" s="1748"/>
      <c r="M753" s="1748"/>
      <c r="N753" s="1748"/>
      <c r="O753" s="1748"/>
      <c r="P753" s="6"/>
      <c r="Q753" s="6"/>
      <c r="R753" s="6"/>
      <c r="S753" s="6"/>
    </row>
    <row r="754" spans="1:19" x14ac:dyDescent="0.2">
      <c r="A754" s="1749"/>
      <c r="B754" s="1749"/>
      <c r="C754" s="1748"/>
      <c r="D754" s="1748"/>
      <c r="E754" s="1748"/>
      <c r="F754" s="1748"/>
      <c r="G754" s="1748"/>
      <c r="H754" s="1748"/>
      <c r="I754" s="1748"/>
      <c r="J754" s="1748"/>
      <c r="K754" s="1748"/>
      <c r="L754" s="1748"/>
      <c r="M754" s="1748"/>
      <c r="N754" s="1748"/>
      <c r="O754" s="1748"/>
      <c r="P754" s="6"/>
      <c r="Q754" s="6"/>
      <c r="R754" s="6"/>
      <c r="S754" s="6"/>
    </row>
    <row r="755" spans="1:19" x14ac:dyDescent="0.2">
      <c r="A755" s="1749"/>
      <c r="B755" s="1749"/>
      <c r="C755" s="1748"/>
      <c r="D755" s="1748"/>
      <c r="E755" s="1748"/>
      <c r="F755" s="1748"/>
      <c r="G755" s="1748"/>
      <c r="H755" s="1748"/>
      <c r="I755" s="1748"/>
      <c r="J755" s="1748"/>
      <c r="K755" s="1748"/>
      <c r="L755" s="1748"/>
      <c r="M755" s="1748"/>
      <c r="N755" s="1748"/>
      <c r="O755" s="1748"/>
      <c r="P755" s="6"/>
      <c r="Q755" s="6"/>
      <c r="R755" s="6"/>
      <c r="S755" s="6"/>
    </row>
    <row r="756" spans="1:19" x14ac:dyDescent="0.2">
      <c r="A756" s="1749"/>
      <c r="B756" s="1749"/>
      <c r="C756" s="1748"/>
      <c r="D756" s="1748"/>
      <c r="E756" s="1748"/>
      <c r="F756" s="1748"/>
      <c r="G756" s="1748"/>
      <c r="H756" s="1748"/>
      <c r="I756" s="1748"/>
      <c r="J756" s="1748"/>
      <c r="K756" s="1748"/>
      <c r="L756" s="1748"/>
      <c r="M756" s="1748"/>
      <c r="N756" s="1748"/>
      <c r="O756" s="1748"/>
      <c r="P756" s="6"/>
      <c r="Q756" s="6"/>
      <c r="R756" s="6"/>
      <c r="S756" s="6"/>
    </row>
    <row r="757" spans="1:19" x14ac:dyDescent="0.2">
      <c r="A757" s="1749"/>
      <c r="B757" s="1749"/>
      <c r="C757" s="1748"/>
      <c r="D757" s="1748"/>
      <c r="E757" s="1748"/>
      <c r="F757" s="1748"/>
      <c r="G757" s="1748"/>
      <c r="H757" s="1748"/>
      <c r="I757" s="1748"/>
      <c r="J757" s="1748"/>
      <c r="K757" s="1748"/>
      <c r="L757" s="1748"/>
      <c r="M757" s="1748"/>
      <c r="N757" s="1748"/>
      <c r="O757" s="1748"/>
      <c r="P757" s="6"/>
      <c r="Q757" s="6"/>
      <c r="R757" s="6"/>
      <c r="S757" s="6"/>
    </row>
    <row r="758" spans="1:19" x14ac:dyDescent="0.2">
      <c r="A758" s="1749"/>
      <c r="B758" s="1749"/>
      <c r="C758" s="1748"/>
      <c r="D758" s="1748"/>
      <c r="E758" s="1748"/>
      <c r="F758" s="1748"/>
      <c r="G758" s="1748"/>
      <c r="H758" s="1748"/>
      <c r="I758" s="1748"/>
      <c r="J758" s="1748"/>
      <c r="K758" s="1748"/>
      <c r="L758" s="1748"/>
      <c r="M758" s="1748"/>
      <c r="N758" s="1748"/>
      <c r="O758" s="1748"/>
      <c r="P758" s="6"/>
      <c r="Q758" s="6"/>
      <c r="R758" s="6"/>
      <c r="S758" s="6"/>
    </row>
    <row r="759" spans="1:19" x14ac:dyDescent="0.2">
      <c r="A759" s="1749"/>
      <c r="B759" s="1749"/>
      <c r="C759" s="1748"/>
      <c r="D759" s="1748"/>
      <c r="E759" s="1748"/>
      <c r="F759" s="1748"/>
      <c r="G759" s="1748"/>
      <c r="H759" s="1748"/>
      <c r="I759" s="1748"/>
      <c r="J759" s="1748"/>
      <c r="K759" s="1748"/>
      <c r="L759" s="1748"/>
      <c r="M759" s="1748"/>
      <c r="N759" s="1748"/>
      <c r="O759" s="1748"/>
      <c r="P759" s="6"/>
      <c r="Q759" s="6"/>
      <c r="R759" s="6"/>
      <c r="S759" s="6"/>
    </row>
    <row r="760" spans="1:19" x14ac:dyDescent="0.2">
      <c r="A760" s="1749"/>
      <c r="B760" s="1749"/>
      <c r="C760" s="1748"/>
      <c r="D760" s="1748"/>
      <c r="E760" s="1748"/>
      <c r="F760" s="1748"/>
      <c r="G760" s="1748"/>
      <c r="H760" s="1748"/>
      <c r="I760" s="1748"/>
      <c r="J760" s="1748"/>
      <c r="K760" s="1748"/>
      <c r="L760" s="1748"/>
      <c r="M760" s="1748"/>
      <c r="N760" s="1748"/>
      <c r="O760" s="1748"/>
      <c r="P760" s="6"/>
      <c r="Q760" s="6"/>
      <c r="R760" s="6"/>
      <c r="S760" s="6"/>
    </row>
    <row r="761" spans="1:19" x14ac:dyDescent="0.2">
      <c r="A761" s="1749"/>
      <c r="B761" s="1749"/>
      <c r="C761" s="1748"/>
      <c r="D761" s="1748"/>
      <c r="E761" s="1748"/>
      <c r="F761" s="1748"/>
      <c r="G761" s="1748"/>
      <c r="H761" s="1748"/>
      <c r="I761" s="1748"/>
      <c r="J761" s="1748"/>
      <c r="K761" s="1748"/>
      <c r="L761" s="1748"/>
      <c r="M761" s="1748"/>
      <c r="N761" s="1748"/>
      <c r="O761" s="1748"/>
      <c r="P761" s="6"/>
      <c r="Q761" s="6"/>
      <c r="R761" s="6"/>
      <c r="S761" s="6"/>
    </row>
    <row r="762" spans="1:19" x14ac:dyDescent="0.2">
      <c r="A762" s="1749"/>
      <c r="B762" s="1749"/>
      <c r="C762" s="1748"/>
      <c r="D762" s="1748"/>
      <c r="E762" s="1748"/>
      <c r="F762" s="1748"/>
      <c r="G762" s="1748"/>
      <c r="H762" s="1748"/>
      <c r="I762" s="1748"/>
      <c r="J762" s="1748"/>
      <c r="K762" s="1748"/>
      <c r="L762" s="1748"/>
      <c r="M762" s="1748"/>
      <c r="N762" s="1748"/>
      <c r="O762" s="1748"/>
      <c r="P762" s="6"/>
      <c r="Q762" s="6"/>
      <c r="R762" s="6"/>
      <c r="S762" s="6"/>
    </row>
    <row r="763" spans="1:19" x14ac:dyDescent="0.2">
      <c r="A763" s="1749"/>
      <c r="B763" s="1749"/>
      <c r="C763" s="1748"/>
      <c r="D763" s="1748"/>
      <c r="E763" s="1748"/>
      <c r="F763" s="1748"/>
      <c r="G763" s="1748"/>
      <c r="H763" s="1748"/>
      <c r="I763" s="1748"/>
      <c r="J763" s="1748"/>
      <c r="K763" s="1748"/>
      <c r="L763" s="1748"/>
      <c r="M763" s="1748"/>
      <c r="N763" s="1748"/>
      <c r="O763" s="1748"/>
      <c r="P763" s="6"/>
      <c r="Q763" s="6"/>
      <c r="R763" s="6"/>
      <c r="S763" s="6"/>
    </row>
    <row r="764" spans="1:19" x14ac:dyDescent="0.2">
      <c r="A764" s="1749"/>
      <c r="B764" s="1749"/>
      <c r="C764" s="1748"/>
      <c r="D764" s="1748"/>
      <c r="E764" s="1748"/>
      <c r="F764" s="1748"/>
      <c r="G764" s="1748"/>
      <c r="H764" s="1748"/>
      <c r="I764" s="1748"/>
      <c r="J764" s="1748"/>
      <c r="K764" s="1748"/>
      <c r="L764" s="1748"/>
      <c r="M764" s="1748"/>
      <c r="N764" s="1748"/>
      <c r="O764" s="1748"/>
      <c r="P764" s="6"/>
      <c r="Q764" s="6"/>
      <c r="R764" s="6"/>
      <c r="S764" s="6"/>
    </row>
    <row r="765" spans="1:19" x14ac:dyDescent="0.2">
      <c r="A765" s="1749"/>
      <c r="B765" s="1749"/>
      <c r="C765" s="1748"/>
      <c r="D765" s="1748"/>
      <c r="E765" s="1748"/>
      <c r="F765" s="1748"/>
      <c r="G765" s="1748"/>
      <c r="H765" s="1748"/>
      <c r="I765" s="1748"/>
      <c r="J765" s="1748"/>
      <c r="K765" s="1748"/>
      <c r="L765" s="1748"/>
      <c r="M765" s="1748"/>
      <c r="N765" s="1748"/>
      <c r="O765" s="1748"/>
      <c r="P765" s="6"/>
      <c r="Q765" s="6"/>
      <c r="R765" s="6"/>
      <c r="S765" s="6"/>
    </row>
    <row r="766" spans="1:19" x14ac:dyDescent="0.2">
      <c r="A766" s="1749"/>
      <c r="B766" s="1749"/>
      <c r="C766" s="1748"/>
      <c r="D766" s="1748"/>
      <c r="E766" s="1748"/>
      <c r="F766" s="1748"/>
      <c r="G766" s="1748"/>
      <c r="H766" s="1748"/>
      <c r="I766" s="1748"/>
      <c r="J766" s="1748"/>
      <c r="K766" s="1748"/>
      <c r="L766" s="1748"/>
      <c r="M766" s="1748"/>
      <c r="N766" s="1748"/>
      <c r="O766" s="1748"/>
      <c r="P766" s="6"/>
      <c r="Q766" s="6"/>
      <c r="R766" s="6"/>
      <c r="S766" s="6"/>
    </row>
    <row r="767" spans="1:19" x14ac:dyDescent="0.2">
      <c r="A767" s="1749"/>
      <c r="B767" s="1749"/>
      <c r="C767" s="1748"/>
      <c r="D767" s="1748"/>
      <c r="E767" s="1748"/>
      <c r="F767" s="1748"/>
      <c r="G767" s="1748"/>
      <c r="H767" s="1748"/>
      <c r="I767" s="1748"/>
      <c r="J767" s="1748"/>
      <c r="K767" s="1748"/>
      <c r="L767" s="1748"/>
      <c r="M767" s="1748"/>
      <c r="N767" s="1748"/>
      <c r="O767" s="1748"/>
      <c r="P767" s="6"/>
      <c r="Q767" s="6"/>
      <c r="R767" s="6"/>
      <c r="S767" s="6"/>
    </row>
    <row r="768" spans="1:19" x14ac:dyDescent="0.2">
      <c r="A768" s="1749"/>
      <c r="B768" s="1749"/>
      <c r="C768" s="1748"/>
      <c r="D768" s="1748"/>
      <c r="E768" s="1748"/>
      <c r="F768" s="1748"/>
      <c r="G768" s="1748"/>
      <c r="H768" s="1748"/>
      <c r="I768" s="1748"/>
      <c r="J768" s="1748"/>
      <c r="K768" s="1748"/>
      <c r="L768" s="1748"/>
      <c r="M768" s="1748"/>
      <c r="N768" s="1748"/>
      <c r="O768" s="1748"/>
      <c r="P768" s="6"/>
      <c r="Q768" s="6"/>
      <c r="R768" s="6"/>
      <c r="S768" s="6"/>
    </row>
    <row r="769" spans="1:19" x14ac:dyDescent="0.2">
      <c r="A769" s="1749"/>
      <c r="B769" s="1749"/>
      <c r="C769" s="1748"/>
      <c r="D769" s="1748"/>
      <c r="E769" s="1748"/>
      <c r="F769" s="1748"/>
      <c r="G769" s="1748"/>
      <c r="H769" s="1748"/>
      <c r="I769" s="1748"/>
      <c r="J769" s="1748"/>
      <c r="K769" s="1748"/>
      <c r="L769" s="1748"/>
      <c r="M769" s="1748"/>
      <c r="N769" s="1748"/>
      <c r="O769" s="1748"/>
      <c r="P769" s="6"/>
      <c r="Q769" s="6"/>
      <c r="R769" s="6"/>
      <c r="S769" s="6"/>
    </row>
    <row r="770" spans="1:19" x14ac:dyDescent="0.2">
      <c r="A770" s="1749"/>
      <c r="B770" s="1749"/>
      <c r="C770" s="1748"/>
      <c r="D770" s="1748"/>
      <c r="E770" s="1748"/>
      <c r="F770" s="1748"/>
      <c r="G770" s="1748"/>
      <c r="H770" s="1748"/>
      <c r="I770" s="1748"/>
      <c r="J770" s="1748"/>
      <c r="K770" s="1748"/>
      <c r="L770" s="1748"/>
      <c r="M770" s="1748"/>
      <c r="N770" s="1748"/>
      <c r="O770" s="1748"/>
      <c r="P770" s="6"/>
      <c r="Q770" s="6"/>
      <c r="R770" s="6"/>
      <c r="S770" s="6"/>
    </row>
    <row r="771" spans="1:19" x14ac:dyDescent="0.2">
      <c r="A771" s="1749"/>
      <c r="B771" s="1749"/>
      <c r="C771" s="1748"/>
      <c r="D771" s="1748"/>
      <c r="E771" s="1748"/>
      <c r="F771" s="1748"/>
      <c r="G771" s="1748"/>
      <c r="H771" s="1748"/>
      <c r="I771" s="1748"/>
      <c r="J771" s="1748"/>
      <c r="K771" s="1748"/>
      <c r="L771" s="1748"/>
      <c r="M771" s="1748"/>
      <c r="N771" s="1748"/>
      <c r="O771" s="1748"/>
      <c r="P771" s="6"/>
      <c r="Q771" s="6"/>
      <c r="R771" s="6"/>
      <c r="S771" s="6"/>
    </row>
    <row r="772" spans="1:19" x14ac:dyDescent="0.2">
      <c r="A772" s="1749"/>
      <c r="B772" s="1749"/>
      <c r="C772" s="1748"/>
      <c r="D772" s="1748"/>
      <c r="E772" s="1748"/>
      <c r="F772" s="1748"/>
      <c r="G772" s="1748"/>
      <c r="H772" s="1748"/>
      <c r="I772" s="1748"/>
      <c r="J772" s="1748"/>
      <c r="K772" s="1748"/>
      <c r="L772" s="1748"/>
      <c r="M772" s="1748"/>
      <c r="N772" s="1748"/>
      <c r="O772" s="1748"/>
      <c r="P772" s="6"/>
      <c r="Q772" s="6"/>
      <c r="R772" s="6"/>
      <c r="S772" s="6"/>
    </row>
    <row r="773" spans="1:19" x14ac:dyDescent="0.2">
      <c r="A773" s="1749"/>
      <c r="B773" s="1749"/>
      <c r="C773" s="1748"/>
      <c r="D773" s="1748"/>
      <c r="E773" s="1748"/>
      <c r="F773" s="1748"/>
      <c r="G773" s="1748"/>
      <c r="H773" s="1748"/>
      <c r="I773" s="1748"/>
      <c r="J773" s="1748"/>
      <c r="K773" s="1748"/>
      <c r="L773" s="1748"/>
      <c r="M773" s="1748"/>
      <c r="N773" s="1748"/>
      <c r="O773" s="1748"/>
      <c r="P773" s="6"/>
      <c r="Q773" s="6"/>
      <c r="R773" s="6"/>
      <c r="S773" s="6"/>
    </row>
    <row r="774" spans="1:19" x14ac:dyDescent="0.2">
      <c r="A774" s="1749"/>
      <c r="B774" s="1749"/>
      <c r="C774" s="1748"/>
      <c r="D774" s="1748"/>
      <c r="E774" s="1748"/>
      <c r="F774" s="1748"/>
      <c r="G774" s="1748"/>
      <c r="H774" s="1748"/>
      <c r="I774" s="1748"/>
      <c r="J774" s="1748"/>
      <c r="K774" s="1748"/>
      <c r="L774" s="1748"/>
      <c r="M774" s="1748"/>
      <c r="N774" s="1748"/>
      <c r="O774" s="1748"/>
      <c r="P774" s="6"/>
      <c r="Q774" s="6"/>
      <c r="R774" s="6"/>
      <c r="S774" s="6"/>
    </row>
    <row r="775" spans="1:19" x14ac:dyDescent="0.2">
      <c r="A775" s="1749"/>
      <c r="B775" s="1749"/>
      <c r="C775" s="1748"/>
      <c r="D775" s="1748"/>
      <c r="E775" s="1748"/>
      <c r="F775" s="1748"/>
      <c r="G775" s="1748"/>
      <c r="H775" s="1748"/>
      <c r="I775" s="1748"/>
      <c r="J775" s="1748"/>
      <c r="K775" s="1748"/>
      <c r="L775" s="1748"/>
      <c r="M775" s="1748"/>
      <c r="N775" s="1748"/>
      <c r="O775" s="1748"/>
      <c r="P775" s="6"/>
      <c r="Q775" s="6"/>
      <c r="R775" s="6"/>
      <c r="S775" s="6"/>
    </row>
    <row r="776" spans="1:19" x14ac:dyDescent="0.2">
      <c r="A776" s="1749"/>
      <c r="B776" s="1749"/>
      <c r="C776" s="1748"/>
      <c r="D776" s="1748"/>
      <c r="E776" s="1748"/>
      <c r="F776" s="1748"/>
      <c r="G776" s="1748"/>
      <c r="H776" s="1748"/>
      <c r="I776" s="1748"/>
      <c r="J776" s="1748"/>
      <c r="K776" s="1748"/>
      <c r="L776" s="1748"/>
      <c r="M776" s="1748"/>
      <c r="N776" s="1748"/>
      <c r="O776" s="1748"/>
      <c r="P776" s="6"/>
      <c r="Q776" s="6"/>
      <c r="R776" s="6"/>
      <c r="S776" s="6"/>
    </row>
    <row r="777" spans="1:19" x14ac:dyDescent="0.2">
      <c r="A777" s="1749"/>
      <c r="B777" s="1749"/>
      <c r="C777" s="1748"/>
      <c r="D777" s="1748"/>
      <c r="E777" s="1748"/>
      <c r="F777" s="1748"/>
      <c r="G777" s="1748"/>
      <c r="H777" s="1748"/>
      <c r="I777" s="1748"/>
      <c r="J777" s="1748"/>
      <c r="K777" s="1748"/>
      <c r="L777" s="1748"/>
      <c r="M777" s="1748"/>
      <c r="N777" s="1748"/>
      <c r="O777" s="1748"/>
      <c r="P777" s="6"/>
      <c r="Q777" s="6"/>
      <c r="R777" s="6"/>
      <c r="S777" s="6"/>
    </row>
    <row r="778" spans="1:19" x14ac:dyDescent="0.2">
      <c r="A778" s="1749"/>
      <c r="B778" s="1749"/>
      <c r="C778" s="1748"/>
      <c r="D778" s="1748"/>
      <c r="E778" s="1748"/>
      <c r="F778" s="1748"/>
      <c r="G778" s="1748"/>
      <c r="H778" s="1748"/>
      <c r="I778" s="1748"/>
      <c r="J778" s="1748"/>
      <c r="K778" s="1748"/>
      <c r="L778" s="1748"/>
      <c r="M778" s="1748"/>
      <c r="N778" s="1748"/>
      <c r="O778" s="1748"/>
      <c r="P778" s="6"/>
      <c r="Q778" s="6"/>
      <c r="R778" s="6"/>
      <c r="S778" s="6"/>
    </row>
    <row r="779" spans="1:19" x14ac:dyDescent="0.2">
      <c r="A779" s="1749"/>
      <c r="B779" s="1749"/>
      <c r="C779" s="1748"/>
      <c r="D779" s="1748"/>
      <c r="E779" s="1748"/>
      <c r="F779" s="1748"/>
      <c r="G779" s="1748"/>
      <c r="H779" s="1748"/>
      <c r="I779" s="1748"/>
      <c r="J779" s="1748"/>
      <c r="K779" s="1748"/>
      <c r="L779" s="1748"/>
      <c r="M779" s="1748"/>
      <c r="N779" s="1748"/>
      <c r="O779" s="1748"/>
      <c r="P779" s="6"/>
      <c r="Q779" s="6"/>
      <c r="R779" s="6"/>
      <c r="S779" s="6"/>
    </row>
    <row r="780" spans="1:19" x14ac:dyDescent="0.2">
      <c r="A780" s="1749"/>
      <c r="B780" s="1749"/>
      <c r="C780" s="1748"/>
      <c r="D780" s="1748"/>
      <c r="E780" s="1748"/>
      <c r="F780" s="1748"/>
      <c r="G780" s="1748"/>
      <c r="H780" s="1748"/>
      <c r="I780" s="1748"/>
      <c r="J780" s="1748"/>
      <c r="K780" s="1748"/>
      <c r="L780" s="1748"/>
      <c r="M780" s="1748"/>
      <c r="N780" s="1748"/>
      <c r="O780" s="1748"/>
      <c r="P780" s="6"/>
      <c r="Q780" s="6"/>
      <c r="R780" s="6"/>
      <c r="S780" s="6"/>
    </row>
    <row r="781" spans="1:19" x14ac:dyDescent="0.2">
      <c r="A781" s="1749"/>
      <c r="B781" s="1749"/>
      <c r="C781" s="1748"/>
      <c r="D781" s="1748"/>
      <c r="E781" s="1748"/>
      <c r="F781" s="1748"/>
      <c r="G781" s="1748"/>
      <c r="H781" s="1748"/>
      <c r="I781" s="1748"/>
      <c r="J781" s="1748"/>
      <c r="K781" s="1748"/>
      <c r="L781" s="1748"/>
      <c r="M781" s="1748"/>
      <c r="N781" s="1748"/>
      <c r="O781" s="1748"/>
      <c r="P781" s="6"/>
      <c r="Q781" s="6"/>
      <c r="R781" s="6"/>
      <c r="S781" s="6"/>
    </row>
    <row r="782" spans="1:19" x14ac:dyDescent="0.2">
      <c r="A782" s="1749"/>
      <c r="B782" s="1749"/>
      <c r="C782" s="1748"/>
      <c r="D782" s="1748"/>
      <c r="E782" s="1748"/>
      <c r="F782" s="1748"/>
      <c r="G782" s="1748"/>
      <c r="H782" s="1748"/>
      <c r="I782" s="1748"/>
      <c r="J782" s="1748"/>
      <c r="K782" s="1748"/>
      <c r="L782" s="1748"/>
      <c r="M782" s="1748"/>
      <c r="N782" s="1748"/>
      <c r="O782" s="1748"/>
      <c r="P782" s="6"/>
      <c r="Q782" s="6"/>
      <c r="R782" s="6"/>
      <c r="S782" s="6"/>
    </row>
    <row r="783" spans="1:19" x14ac:dyDescent="0.2">
      <c r="A783" s="1749"/>
      <c r="B783" s="1749"/>
      <c r="C783" s="1748"/>
      <c r="D783" s="1748"/>
      <c r="E783" s="1748"/>
      <c r="F783" s="1748"/>
      <c r="G783" s="1748"/>
      <c r="H783" s="1748"/>
      <c r="I783" s="1748"/>
      <c r="J783" s="1748"/>
      <c r="K783" s="1748"/>
      <c r="L783" s="1748"/>
      <c r="M783" s="1748"/>
      <c r="N783" s="1748"/>
      <c r="O783" s="1748"/>
      <c r="P783" s="6"/>
      <c r="Q783" s="6"/>
      <c r="R783" s="6"/>
      <c r="S783" s="6"/>
    </row>
    <row r="784" spans="1:19" x14ac:dyDescent="0.2">
      <c r="A784" s="1749"/>
      <c r="B784" s="1749"/>
      <c r="C784" s="1748"/>
      <c r="D784" s="1748"/>
      <c r="E784" s="1748"/>
      <c r="F784" s="1748"/>
      <c r="G784" s="1748"/>
      <c r="H784" s="1748"/>
      <c r="I784" s="1748"/>
      <c r="J784" s="1748"/>
      <c r="K784" s="1748"/>
      <c r="L784" s="1748"/>
      <c r="M784" s="1748"/>
      <c r="N784" s="1748"/>
      <c r="O784" s="1748"/>
      <c r="P784" s="6"/>
      <c r="Q784" s="6"/>
      <c r="R784" s="6"/>
      <c r="S784" s="6"/>
    </row>
    <row r="785" spans="1:19" x14ac:dyDescent="0.2">
      <c r="A785" s="1749"/>
      <c r="B785" s="1749"/>
      <c r="C785" s="1748"/>
      <c r="D785" s="1748"/>
      <c r="E785" s="1748"/>
      <c r="F785" s="1748"/>
      <c r="G785" s="1748"/>
      <c r="H785" s="1748"/>
      <c r="I785" s="1748"/>
      <c r="J785" s="1748"/>
      <c r="K785" s="1748"/>
      <c r="L785" s="1748"/>
      <c r="M785" s="1748"/>
      <c r="N785" s="1748"/>
      <c r="O785" s="1748"/>
      <c r="P785" s="6"/>
      <c r="Q785" s="6"/>
      <c r="R785" s="6"/>
      <c r="S785" s="6"/>
    </row>
    <row r="786" spans="1:19" x14ac:dyDescent="0.2">
      <c r="A786" s="1749"/>
      <c r="B786" s="1749"/>
      <c r="C786" s="1748"/>
      <c r="D786" s="1748"/>
      <c r="E786" s="1748"/>
      <c r="F786" s="1748"/>
      <c r="G786" s="1748"/>
      <c r="H786" s="1748"/>
      <c r="I786" s="1748"/>
      <c r="J786" s="1748"/>
      <c r="K786" s="1748"/>
      <c r="L786" s="1748"/>
      <c r="M786" s="1748"/>
      <c r="N786" s="1748"/>
      <c r="O786" s="1748"/>
      <c r="P786" s="6"/>
      <c r="Q786" s="6"/>
      <c r="R786" s="6"/>
      <c r="S786" s="6"/>
    </row>
    <row r="787" spans="1:19" x14ac:dyDescent="0.2">
      <c r="A787" s="1749"/>
      <c r="B787" s="1749"/>
      <c r="C787" s="1748"/>
      <c r="D787" s="1748"/>
      <c r="E787" s="1748"/>
      <c r="F787" s="1748"/>
      <c r="G787" s="1748"/>
      <c r="H787" s="1748"/>
      <c r="I787" s="1748"/>
      <c r="J787" s="1748"/>
      <c r="K787" s="1748"/>
      <c r="L787" s="1748"/>
      <c r="M787" s="1748"/>
      <c r="N787" s="1748"/>
      <c r="O787" s="1748"/>
      <c r="P787" s="6"/>
      <c r="Q787" s="6"/>
      <c r="R787" s="6"/>
      <c r="S787" s="6"/>
    </row>
    <row r="788" spans="1:19" x14ac:dyDescent="0.2">
      <c r="A788" s="1749"/>
      <c r="B788" s="1749"/>
      <c r="C788" s="1748"/>
      <c r="D788" s="1748"/>
      <c r="E788" s="1748"/>
      <c r="F788" s="1748"/>
      <c r="G788" s="1748"/>
      <c r="H788" s="1748"/>
      <c r="I788" s="1748"/>
      <c r="J788" s="1748"/>
      <c r="K788" s="1748"/>
      <c r="L788" s="1748"/>
      <c r="M788" s="1748"/>
      <c r="N788" s="1748"/>
      <c r="O788" s="1748"/>
      <c r="P788" s="6"/>
      <c r="Q788" s="6"/>
      <c r="R788" s="6"/>
      <c r="S788" s="6"/>
    </row>
    <row r="789" spans="1:19" x14ac:dyDescent="0.2">
      <c r="A789" s="1749"/>
      <c r="B789" s="1749"/>
      <c r="C789" s="1748"/>
      <c r="D789" s="1748"/>
      <c r="E789" s="1748"/>
      <c r="F789" s="1748"/>
      <c r="G789" s="1748"/>
      <c r="H789" s="1748"/>
      <c r="I789" s="1748"/>
      <c r="J789" s="1748"/>
      <c r="K789" s="1748"/>
      <c r="L789" s="1748"/>
      <c r="M789" s="1748"/>
      <c r="N789" s="1748"/>
      <c r="O789" s="1748"/>
      <c r="P789" s="6"/>
      <c r="Q789" s="6"/>
      <c r="R789" s="6"/>
      <c r="S789" s="6"/>
    </row>
    <row r="790" spans="1:19" x14ac:dyDescent="0.2">
      <c r="A790" s="1749"/>
      <c r="B790" s="1749"/>
      <c r="C790" s="1748"/>
      <c r="D790" s="1748"/>
      <c r="E790" s="1748"/>
      <c r="F790" s="1748"/>
      <c r="G790" s="1748"/>
      <c r="H790" s="1748"/>
      <c r="I790" s="1748"/>
      <c r="J790" s="1748"/>
      <c r="K790" s="1748"/>
      <c r="L790" s="1748"/>
      <c r="M790" s="1748"/>
      <c r="N790" s="1748"/>
      <c r="O790" s="1748"/>
      <c r="P790" s="6"/>
      <c r="Q790" s="6"/>
      <c r="R790" s="6"/>
      <c r="S790" s="6"/>
    </row>
    <row r="791" spans="1:19" x14ac:dyDescent="0.2">
      <c r="A791" s="1749"/>
      <c r="B791" s="1749"/>
      <c r="C791" s="1748"/>
      <c r="D791" s="1748"/>
      <c r="E791" s="1748"/>
      <c r="F791" s="1748"/>
      <c r="G791" s="1748"/>
      <c r="H791" s="1748"/>
      <c r="I791" s="1748"/>
      <c r="J791" s="1748"/>
      <c r="K791" s="1748"/>
      <c r="L791" s="1748"/>
      <c r="M791" s="1748"/>
      <c r="N791" s="1748"/>
      <c r="O791" s="1748"/>
      <c r="P791" s="6"/>
      <c r="Q791" s="6"/>
      <c r="R791" s="6"/>
      <c r="S791" s="6"/>
    </row>
    <row r="792" spans="1:19" x14ac:dyDescent="0.2">
      <c r="A792" s="1749"/>
      <c r="B792" s="1749"/>
      <c r="C792" s="1748"/>
      <c r="D792" s="1748"/>
      <c r="E792" s="1748"/>
      <c r="F792" s="1748"/>
      <c r="G792" s="1748"/>
      <c r="H792" s="1748"/>
      <c r="I792" s="1748"/>
      <c r="J792" s="1748"/>
      <c r="K792" s="1748"/>
      <c r="L792" s="1748"/>
      <c r="M792" s="1748"/>
      <c r="N792" s="1748"/>
      <c r="O792" s="1748"/>
      <c r="P792" s="6"/>
      <c r="Q792" s="6"/>
      <c r="R792" s="6"/>
      <c r="S792" s="6"/>
    </row>
    <row r="793" spans="1:19" x14ac:dyDescent="0.2">
      <c r="A793" s="1749"/>
      <c r="B793" s="1749"/>
      <c r="C793" s="1748"/>
      <c r="D793" s="1748"/>
      <c r="E793" s="1748"/>
      <c r="F793" s="1748"/>
      <c r="G793" s="1748"/>
      <c r="H793" s="1748"/>
      <c r="I793" s="1748"/>
      <c r="J793" s="1748"/>
      <c r="K793" s="1748"/>
      <c r="L793" s="1748"/>
      <c r="M793" s="1748"/>
      <c r="N793" s="1748"/>
      <c r="O793" s="1748"/>
      <c r="P793" s="6"/>
      <c r="Q793" s="6"/>
      <c r="R793" s="6"/>
      <c r="S793" s="6"/>
    </row>
    <row r="794" spans="1:19" x14ac:dyDescent="0.2">
      <c r="A794" s="1749"/>
      <c r="B794" s="1749"/>
      <c r="C794" s="1748"/>
      <c r="D794" s="1748"/>
      <c r="E794" s="1748"/>
      <c r="F794" s="1748"/>
      <c r="G794" s="1748"/>
      <c r="H794" s="1748"/>
      <c r="I794" s="1748"/>
      <c r="J794" s="1748"/>
      <c r="K794" s="1748"/>
      <c r="L794" s="1748"/>
      <c r="M794" s="1748"/>
      <c r="N794" s="1748"/>
      <c r="O794" s="1748"/>
      <c r="P794" s="6"/>
      <c r="Q794" s="6"/>
      <c r="R794" s="6"/>
      <c r="S794" s="6"/>
    </row>
    <row r="795" spans="1:19" x14ac:dyDescent="0.2">
      <c r="A795" s="1749"/>
      <c r="B795" s="1749"/>
      <c r="C795" s="1748"/>
      <c r="D795" s="1748"/>
      <c r="E795" s="1748"/>
      <c r="F795" s="1748"/>
      <c r="G795" s="1748"/>
      <c r="H795" s="1748"/>
      <c r="I795" s="1748"/>
      <c r="J795" s="1748"/>
      <c r="K795" s="1748"/>
      <c r="L795" s="1748"/>
      <c r="M795" s="1748"/>
      <c r="N795" s="1748"/>
      <c r="O795" s="1748"/>
      <c r="P795" s="6"/>
      <c r="Q795" s="6"/>
      <c r="R795" s="6"/>
      <c r="S795" s="6"/>
    </row>
    <row r="796" spans="1:19" x14ac:dyDescent="0.2">
      <c r="A796" s="1749"/>
      <c r="B796" s="1749"/>
      <c r="C796" s="1748"/>
      <c r="D796" s="1748"/>
      <c r="E796" s="1748"/>
      <c r="F796" s="1748"/>
      <c r="G796" s="1748"/>
      <c r="H796" s="1748"/>
      <c r="I796" s="1748"/>
      <c r="J796" s="1748"/>
      <c r="K796" s="1748"/>
      <c r="L796" s="1748"/>
      <c r="M796" s="1748"/>
      <c r="N796" s="1748"/>
      <c r="O796" s="1748"/>
      <c r="P796" s="6"/>
      <c r="Q796" s="6"/>
      <c r="R796" s="6"/>
      <c r="S796" s="6"/>
    </row>
    <row r="797" spans="1:19" x14ac:dyDescent="0.2">
      <c r="A797" s="1749"/>
      <c r="B797" s="1749"/>
      <c r="C797" s="1748"/>
      <c r="D797" s="1748"/>
      <c r="E797" s="1748"/>
      <c r="F797" s="1748"/>
      <c r="G797" s="1748"/>
      <c r="H797" s="1748"/>
      <c r="I797" s="1748"/>
      <c r="J797" s="1748"/>
      <c r="K797" s="1748"/>
      <c r="L797" s="1748"/>
      <c r="M797" s="1748"/>
      <c r="N797" s="1748"/>
      <c r="O797" s="1748"/>
      <c r="P797" s="6"/>
      <c r="Q797" s="6"/>
      <c r="R797" s="6"/>
      <c r="S797" s="6"/>
    </row>
    <row r="798" spans="1:19" x14ac:dyDescent="0.2">
      <c r="A798" s="1749"/>
      <c r="B798" s="1749"/>
      <c r="C798" s="1748"/>
      <c r="D798" s="1748"/>
      <c r="E798" s="1748"/>
      <c r="F798" s="1748"/>
      <c r="G798" s="1748"/>
      <c r="H798" s="1748"/>
      <c r="I798" s="1748"/>
      <c r="J798" s="1748"/>
      <c r="K798" s="1748"/>
      <c r="L798" s="1748"/>
      <c r="M798" s="1748"/>
      <c r="N798" s="1748"/>
      <c r="O798" s="1748"/>
      <c r="P798" s="6"/>
      <c r="Q798" s="6"/>
      <c r="R798" s="6"/>
      <c r="S798" s="6"/>
    </row>
    <row r="799" spans="1:19" x14ac:dyDescent="0.2">
      <c r="A799" s="1749"/>
      <c r="B799" s="1749"/>
      <c r="C799" s="1748"/>
      <c r="D799" s="1748"/>
      <c r="E799" s="1748"/>
      <c r="F799" s="1748"/>
      <c r="G799" s="1748"/>
      <c r="H799" s="1748"/>
      <c r="I799" s="1748"/>
      <c r="J799" s="1748"/>
      <c r="K799" s="1748"/>
      <c r="L799" s="1748"/>
      <c r="M799" s="1748"/>
      <c r="N799" s="1748"/>
      <c r="O799" s="1748"/>
      <c r="P799" s="6"/>
      <c r="Q799" s="6"/>
      <c r="R799" s="6"/>
      <c r="S799" s="6"/>
    </row>
    <row r="800" spans="1:19" x14ac:dyDescent="0.2">
      <c r="A800" s="1749"/>
      <c r="B800" s="1749"/>
      <c r="C800" s="1748"/>
      <c r="D800" s="1748"/>
      <c r="E800" s="1748"/>
      <c r="F800" s="1748"/>
      <c r="G800" s="1748"/>
      <c r="H800" s="1748"/>
      <c r="I800" s="1748"/>
      <c r="J800" s="1748"/>
      <c r="K800" s="1748"/>
      <c r="L800" s="1748"/>
      <c r="M800" s="1748"/>
      <c r="N800" s="1748"/>
      <c r="O800" s="1748"/>
      <c r="P800" s="6"/>
      <c r="Q800" s="6"/>
      <c r="R800" s="6"/>
      <c r="S800" s="6"/>
    </row>
    <row r="801" spans="1:19" x14ac:dyDescent="0.2">
      <c r="A801" s="1749"/>
      <c r="B801" s="1749"/>
      <c r="C801" s="1748"/>
      <c r="D801" s="1748"/>
      <c r="E801" s="1748"/>
      <c r="F801" s="1748"/>
      <c r="G801" s="1748"/>
      <c r="H801" s="1748"/>
      <c r="I801" s="1748"/>
      <c r="J801" s="1748"/>
      <c r="K801" s="1748"/>
      <c r="L801" s="1748"/>
      <c r="M801" s="1748"/>
      <c r="N801" s="1748"/>
      <c r="O801" s="1748"/>
      <c r="P801" s="6"/>
      <c r="Q801" s="6"/>
      <c r="R801" s="6"/>
      <c r="S801" s="6"/>
    </row>
    <row r="802" spans="1:19" x14ac:dyDescent="0.2">
      <c r="A802" s="1749"/>
      <c r="B802" s="1749"/>
      <c r="C802" s="1748"/>
      <c r="D802" s="1748"/>
      <c r="E802" s="1748"/>
      <c r="F802" s="1748"/>
      <c r="G802" s="1748"/>
      <c r="H802" s="1748"/>
      <c r="I802" s="1748"/>
      <c r="J802" s="1748"/>
      <c r="K802" s="1748"/>
      <c r="L802" s="1748"/>
      <c r="M802" s="1748"/>
      <c r="N802" s="1748"/>
      <c r="O802" s="1748"/>
      <c r="P802" s="6"/>
      <c r="Q802" s="6"/>
      <c r="R802" s="6"/>
      <c r="S802" s="6"/>
    </row>
    <row r="803" spans="1:19" x14ac:dyDescent="0.2">
      <c r="A803" s="1749"/>
      <c r="B803" s="1749"/>
      <c r="C803" s="1748"/>
      <c r="D803" s="1748"/>
      <c r="E803" s="1748"/>
      <c r="F803" s="1748"/>
      <c r="G803" s="1748"/>
      <c r="H803" s="1748"/>
      <c r="I803" s="1748"/>
      <c r="J803" s="1748"/>
      <c r="K803" s="1748"/>
      <c r="L803" s="1748"/>
      <c r="M803" s="1748"/>
      <c r="N803" s="1748"/>
      <c r="O803" s="1748"/>
      <c r="P803" s="6"/>
      <c r="Q803" s="6"/>
      <c r="R803" s="6"/>
      <c r="S803" s="6"/>
    </row>
    <row r="804" spans="1:19" x14ac:dyDescent="0.2">
      <c r="A804" s="1749"/>
      <c r="B804" s="1749"/>
      <c r="C804" s="1748"/>
      <c r="D804" s="1748"/>
      <c r="E804" s="1748"/>
      <c r="F804" s="1748"/>
      <c r="G804" s="1748"/>
      <c r="H804" s="1748"/>
      <c r="I804" s="1748"/>
      <c r="J804" s="1748"/>
      <c r="K804" s="1748"/>
      <c r="L804" s="1748"/>
      <c r="M804" s="1748"/>
      <c r="N804" s="1748"/>
      <c r="O804" s="1748"/>
      <c r="P804" s="6"/>
      <c r="Q804" s="6"/>
      <c r="R804" s="6"/>
      <c r="S804" s="6"/>
    </row>
    <row r="805" spans="1:19" x14ac:dyDescent="0.2">
      <c r="A805" s="1749"/>
      <c r="B805" s="1749"/>
      <c r="C805" s="1748"/>
      <c r="D805" s="1748"/>
      <c r="E805" s="1748"/>
      <c r="F805" s="1748"/>
      <c r="G805" s="1748"/>
      <c r="H805" s="1748"/>
      <c r="I805" s="1748"/>
      <c r="J805" s="1748"/>
      <c r="K805" s="1748"/>
      <c r="L805" s="1748"/>
      <c r="M805" s="1748"/>
      <c r="N805" s="1748"/>
      <c r="O805" s="1748"/>
      <c r="P805" s="6"/>
      <c r="Q805" s="6"/>
      <c r="R805" s="6"/>
      <c r="S805" s="6"/>
    </row>
    <row r="806" spans="1:19" x14ac:dyDescent="0.2">
      <c r="A806" s="1749"/>
      <c r="B806" s="1749"/>
      <c r="C806" s="1748"/>
      <c r="D806" s="1748"/>
      <c r="E806" s="1748"/>
      <c r="F806" s="1748"/>
      <c r="G806" s="1748"/>
      <c r="H806" s="1748"/>
      <c r="I806" s="1748"/>
      <c r="J806" s="1748"/>
      <c r="K806" s="1748"/>
      <c r="L806" s="1748"/>
      <c r="M806" s="1748"/>
      <c r="N806" s="1748"/>
      <c r="O806" s="1748"/>
      <c r="P806" s="6"/>
      <c r="Q806" s="6"/>
      <c r="R806" s="6"/>
      <c r="S806" s="6"/>
    </row>
    <row r="807" spans="1:19" x14ac:dyDescent="0.2">
      <c r="A807" s="1749"/>
      <c r="B807" s="1749"/>
      <c r="C807" s="1748"/>
      <c r="D807" s="1748"/>
      <c r="E807" s="1748"/>
      <c r="F807" s="1748"/>
      <c r="G807" s="1748"/>
      <c r="H807" s="1748"/>
      <c r="I807" s="1748"/>
      <c r="J807" s="1748"/>
      <c r="K807" s="1748"/>
      <c r="L807" s="1748"/>
      <c r="M807" s="1748"/>
      <c r="N807" s="1748"/>
      <c r="O807" s="1748"/>
      <c r="P807" s="6"/>
      <c r="Q807" s="6"/>
      <c r="R807" s="6"/>
      <c r="S807" s="6"/>
    </row>
    <row r="808" spans="1:19" x14ac:dyDescent="0.2">
      <c r="A808" s="1749"/>
      <c r="B808" s="1749"/>
      <c r="C808" s="1748"/>
      <c r="D808" s="1748"/>
      <c r="E808" s="1748"/>
      <c r="F808" s="1748"/>
      <c r="G808" s="1748"/>
      <c r="H808" s="1748"/>
      <c r="I808" s="1748"/>
      <c r="J808" s="1748"/>
      <c r="K808" s="1748"/>
      <c r="L808" s="1748"/>
      <c r="M808" s="1748"/>
      <c r="N808" s="1748"/>
      <c r="O808" s="1748"/>
      <c r="P808" s="6"/>
      <c r="Q808" s="6"/>
      <c r="R808" s="6"/>
      <c r="S808" s="6"/>
    </row>
    <row r="809" spans="1:19" x14ac:dyDescent="0.2">
      <c r="A809" s="1749"/>
      <c r="B809" s="1749"/>
      <c r="C809" s="1748"/>
      <c r="D809" s="1748"/>
      <c r="E809" s="1748"/>
      <c r="F809" s="1748"/>
      <c r="G809" s="1748"/>
      <c r="H809" s="1748"/>
      <c r="I809" s="1748"/>
      <c r="J809" s="1748"/>
      <c r="K809" s="1748"/>
      <c r="L809" s="1748"/>
      <c r="M809" s="1748"/>
      <c r="N809" s="1748"/>
      <c r="O809" s="1748"/>
      <c r="P809" s="6"/>
      <c r="Q809" s="6"/>
      <c r="R809" s="6"/>
      <c r="S809" s="6"/>
    </row>
    <row r="810" spans="1:19" x14ac:dyDescent="0.2">
      <c r="A810" s="1749"/>
      <c r="B810" s="1749"/>
      <c r="C810" s="1748"/>
      <c r="D810" s="1748"/>
      <c r="E810" s="1748"/>
      <c r="F810" s="1748"/>
      <c r="G810" s="1748"/>
      <c r="H810" s="1748"/>
      <c r="I810" s="1748"/>
      <c r="J810" s="1748"/>
      <c r="K810" s="1748"/>
      <c r="L810" s="1748"/>
      <c r="M810" s="1748"/>
      <c r="N810" s="1748"/>
      <c r="O810" s="1748"/>
      <c r="P810" s="6"/>
      <c r="Q810" s="6"/>
      <c r="R810" s="6"/>
      <c r="S810" s="6"/>
    </row>
    <row r="811" spans="1:19" x14ac:dyDescent="0.2">
      <c r="A811" s="1749"/>
      <c r="B811" s="1749"/>
      <c r="C811" s="1748"/>
      <c r="D811" s="1748"/>
      <c r="E811" s="1748"/>
      <c r="F811" s="1748"/>
      <c r="G811" s="1748"/>
      <c r="H811" s="1748"/>
      <c r="I811" s="1748"/>
      <c r="J811" s="1748"/>
      <c r="K811" s="1748"/>
      <c r="L811" s="1748"/>
      <c r="M811" s="1748"/>
      <c r="N811" s="1748"/>
      <c r="O811" s="1748"/>
      <c r="P811" s="6"/>
      <c r="Q811" s="6"/>
      <c r="R811" s="6"/>
      <c r="S811" s="6"/>
    </row>
    <row r="812" spans="1:19" x14ac:dyDescent="0.2">
      <c r="A812" s="1749"/>
      <c r="B812" s="1749"/>
      <c r="C812" s="1748"/>
      <c r="D812" s="1748"/>
      <c r="E812" s="1748"/>
      <c r="F812" s="1748"/>
      <c r="G812" s="1748"/>
      <c r="H812" s="1748"/>
      <c r="I812" s="1748"/>
      <c r="J812" s="1748"/>
      <c r="K812" s="1748"/>
      <c r="L812" s="1748"/>
      <c r="M812" s="1748"/>
      <c r="N812" s="1748"/>
      <c r="O812" s="1748"/>
      <c r="P812" s="6"/>
      <c r="Q812" s="6"/>
      <c r="R812" s="6"/>
      <c r="S812" s="6"/>
    </row>
    <row r="813" spans="1:19" x14ac:dyDescent="0.2">
      <c r="A813" s="1749"/>
      <c r="B813" s="1749"/>
      <c r="C813" s="1748"/>
      <c r="D813" s="1748"/>
      <c r="E813" s="1748"/>
      <c r="F813" s="1748"/>
      <c r="G813" s="1748"/>
      <c r="H813" s="1748"/>
      <c r="I813" s="1748"/>
      <c r="J813" s="1748"/>
      <c r="K813" s="1748"/>
      <c r="L813" s="1748"/>
      <c r="M813" s="1748"/>
      <c r="N813" s="1748"/>
      <c r="O813" s="1748"/>
      <c r="P813" s="6"/>
      <c r="Q813" s="6"/>
      <c r="R813" s="6"/>
      <c r="S813" s="6"/>
    </row>
    <row r="814" spans="1:19" x14ac:dyDescent="0.2">
      <c r="A814" s="1749"/>
      <c r="B814" s="1749"/>
      <c r="C814" s="1748"/>
      <c r="D814" s="1748"/>
      <c r="E814" s="1748"/>
      <c r="F814" s="1748"/>
      <c r="G814" s="1748"/>
      <c r="H814" s="1748"/>
      <c r="I814" s="1748"/>
      <c r="J814" s="1748"/>
      <c r="K814" s="1748"/>
      <c r="L814" s="1748"/>
      <c r="M814" s="1748"/>
      <c r="N814" s="1748"/>
      <c r="O814" s="1748"/>
      <c r="P814" s="6"/>
      <c r="Q814" s="6"/>
      <c r="R814" s="6"/>
      <c r="S814" s="6"/>
    </row>
    <row r="815" spans="1:19" x14ac:dyDescent="0.2">
      <c r="A815" s="1749"/>
      <c r="B815" s="1749"/>
      <c r="C815" s="1748"/>
      <c r="D815" s="1748"/>
      <c r="E815" s="1748"/>
      <c r="F815" s="1748"/>
      <c r="G815" s="1748"/>
      <c r="H815" s="1748"/>
      <c r="I815" s="1748"/>
      <c r="J815" s="1748"/>
      <c r="K815" s="1748"/>
      <c r="L815" s="1748"/>
      <c r="M815" s="1748"/>
      <c r="N815" s="1748"/>
      <c r="O815" s="1748"/>
      <c r="P815" s="6"/>
      <c r="Q815" s="6"/>
      <c r="R815" s="6"/>
      <c r="S815" s="6"/>
    </row>
    <row r="816" spans="1:19" x14ac:dyDescent="0.2">
      <c r="A816" s="1749"/>
      <c r="B816" s="1749"/>
      <c r="C816" s="1748"/>
      <c r="D816" s="1748"/>
      <c r="E816" s="1748"/>
      <c r="F816" s="1748"/>
      <c r="G816" s="1748"/>
      <c r="H816" s="1748"/>
      <c r="I816" s="1748"/>
      <c r="J816" s="1748"/>
      <c r="K816" s="1748"/>
      <c r="L816" s="1748"/>
      <c r="M816" s="1748"/>
      <c r="N816" s="1748"/>
      <c r="O816" s="1748"/>
      <c r="P816" s="6"/>
      <c r="Q816" s="6"/>
      <c r="R816" s="6"/>
      <c r="S816" s="6"/>
    </row>
    <row r="817" spans="1:19" x14ac:dyDescent="0.2">
      <c r="A817" s="1749"/>
      <c r="B817" s="1749"/>
      <c r="C817" s="1748"/>
      <c r="D817" s="1748"/>
      <c r="E817" s="1748"/>
      <c r="F817" s="1748"/>
      <c r="G817" s="1748"/>
      <c r="H817" s="1748"/>
      <c r="I817" s="1748"/>
      <c r="J817" s="1748"/>
      <c r="K817" s="1748"/>
      <c r="L817" s="1748"/>
      <c r="M817" s="1748"/>
      <c r="N817" s="1748"/>
      <c r="O817" s="1748"/>
      <c r="P817" s="6"/>
      <c r="Q817" s="6"/>
      <c r="R817" s="6"/>
      <c r="S817" s="6"/>
    </row>
    <row r="818" spans="1:19" x14ac:dyDescent="0.2">
      <c r="A818" s="1749"/>
      <c r="B818" s="1749"/>
      <c r="C818" s="1748"/>
      <c r="D818" s="1748"/>
      <c r="E818" s="1748"/>
      <c r="F818" s="1748"/>
      <c r="G818" s="1748"/>
      <c r="H818" s="1748"/>
      <c r="I818" s="1748"/>
      <c r="J818" s="1748"/>
      <c r="K818" s="1748"/>
      <c r="L818" s="1748"/>
      <c r="M818" s="1748"/>
      <c r="N818" s="1748"/>
      <c r="O818" s="1748"/>
      <c r="P818" s="6"/>
      <c r="Q818" s="6"/>
      <c r="R818" s="6"/>
      <c r="S818" s="6"/>
    </row>
    <row r="819" spans="1:19" x14ac:dyDescent="0.2">
      <c r="A819" s="1749"/>
      <c r="B819" s="1749"/>
      <c r="C819" s="1748"/>
      <c r="D819" s="1748"/>
      <c r="E819" s="1748"/>
      <c r="F819" s="1748"/>
      <c r="G819" s="1748"/>
      <c r="H819" s="1748"/>
      <c r="I819" s="1748"/>
      <c r="J819" s="1748"/>
      <c r="K819" s="1748"/>
      <c r="L819" s="1748"/>
      <c r="M819" s="1748"/>
      <c r="N819" s="1748"/>
      <c r="O819" s="1748"/>
      <c r="P819" s="6"/>
      <c r="Q819" s="6"/>
      <c r="R819" s="6"/>
      <c r="S819" s="6"/>
    </row>
    <row r="820" spans="1:19" x14ac:dyDescent="0.2">
      <c r="A820" s="1749"/>
      <c r="B820" s="1749"/>
      <c r="C820" s="1748"/>
      <c r="D820" s="1748"/>
      <c r="E820" s="1748"/>
      <c r="F820" s="1748"/>
      <c r="G820" s="1748"/>
      <c r="H820" s="1748"/>
      <c r="I820" s="1748"/>
      <c r="J820" s="1748"/>
      <c r="K820" s="1748"/>
      <c r="L820" s="1748"/>
      <c r="M820" s="1748"/>
      <c r="N820" s="1748"/>
      <c r="O820" s="1748"/>
      <c r="P820" s="6"/>
      <c r="Q820" s="6"/>
      <c r="R820" s="6"/>
      <c r="S820" s="6"/>
    </row>
    <row r="821" spans="1:19" x14ac:dyDescent="0.2">
      <c r="A821" s="1749"/>
      <c r="B821" s="1749"/>
      <c r="C821" s="1748"/>
      <c r="D821" s="1748"/>
      <c r="E821" s="1748"/>
      <c r="F821" s="1748"/>
      <c r="G821" s="1748"/>
      <c r="H821" s="1748"/>
      <c r="I821" s="1748"/>
      <c r="J821" s="1748"/>
      <c r="K821" s="1748"/>
      <c r="L821" s="1748"/>
      <c r="M821" s="1748"/>
      <c r="N821" s="1748"/>
      <c r="O821" s="1748"/>
      <c r="P821" s="6"/>
      <c r="Q821" s="6"/>
      <c r="R821" s="6"/>
      <c r="S821" s="6"/>
    </row>
    <row r="822" spans="1:19" x14ac:dyDescent="0.2">
      <c r="A822" s="1749"/>
      <c r="B822" s="1749"/>
      <c r="C822" s="1748"/>
      <c r="D822" s="1748"/>
      <c r="E822" s="1748"/>
      <c r="F822" s="1748"/>
      <c r="G822" s="1748"/>
      <c r="H822" s="1748"/>
      <c r="I822" s="1748"/>
      <c r="J822" s="1748"/>
      <c r="K822" s="1748"/>
      <c r="L822" s="1748"/>
      <c r="M822" s="1748"/>
      <c r="N822" s="1748"/>
      <c r="O822" s="1748"/>
      <c r="P822" s="6"/>
      <c r="Q822" s="6"/>
      <c r="R822" s="6"/>
      <c r="S822" s="6"/>
    </row>
    <row r="823" spans="1:19" x14ac:dyDescent="0.2">
      <c r="A823" s="1749"/>
      <c r="B823" s="1749"/>
      <c r="C823" s="1748"/>
      <c r="D823" s="1748"/>
      <c r="E823" s="1748"/>
      <c r="F823" s="1748"/>
      <c r="G823" s="1748"/>
      <c r="H823" s="1748"/>
      <c r="I823" s="1748"/>
      <c r="J823" s="1748"/>
      <c r="K823" s="1748"/>
      <c r="L823" s="1748"/>
      <c r="M823" s="1748"/>
      <c r="N823" s="1748"/>
      <c r="O823" s="1748"/>
      <c r="P823" s="6"/>
      <c r="Q823" s="6"/>
      <c r="R823" s="6"/>
      <c r="S823" s="6"/>
    </row>
    <row r="824" spans="1:19" x14ac:dyDescent="0.2">
      <c r="A824" s="1749"/>
      <c r="B824" s="1749"/>
      <c r="C824" s="1748"/>
      <c r="D824" s="1748"/>
      <c r="E824" s="1748"/>
      <c r="F824" s="1748"/>
      <c r="G824" s="1748"/>
      <c r="H824" s="1748"/>
      <c r="I824" s="1748"/>
      <c r="J824" s="1748"/>
      <c r="K824" s="1748"/>
      <c r="L824" s="1748"/>
      <c r="M824" s="1748"/>
      <c r="N824" s="1748"/>
      <c r="O824" s="1748"/>
      <c r="P824" s="6"/>
      <c r="Q824" s="6"/>
      <c r="R824" s="6"/>
      <c r="S824" s="6"/>
    </row>
    <row r="825" spans="1:19" x14ac:dyDescent="0.2">
      <c r="A825" s="1749"/>
      <c r="B825" s="1749"/>
      <c r="C825" s="1748"/>
      <c r="D825" s="1748"/>
      <c r="E825" s="1748"/>
      <c r="F825" s="1748"/>
      <c r="G825" s="1748"/>
      <c r="H825" s="1748"/>
      <c r="I825" s="1748"/>
      <c r="J825" s="1748"/>
      <c r="K825" s="1748"/>
      <c r="L825" s="1748"/>
      <c r="M825" s="1748"/>
      <c r="N825" s="1748"/>
      <c r="O825" s="1748"/>
      <c r="P825" s="6"/>
      <c r="Q825" s="6"/>
      <c r="R825" s="6"/>
      <c r="S825" s="6"/>
    </row>
    <row r="826" spans="1:19" x14ac:dyDescent="0.2">
      <c r="A826" s="1749"/>
      <c r="B826" s="1749"/>
      <c r="C826" s="1748"/>
      <c r="D826" s="1748"/>
      <c r="E826" s="1748"/>
      <c r="F826" s="1748"/>
      <c r="G826" s="1748"/>
      <c r="H826" s="1748"/>
      <c r="I826" s="1748"/>
      <c r="J826" s="1748"/>
      <c r="K826" s="1748"/>
      <c r="L826" s="1748"/>
      <c r="M826" s="1748"/>
      <c r="N826" s="1748"/>
      <c r="O826" s="1748"/>
      <c r="P826" s="6"/>
      <c r="Q826" s="6"/>
      <c r="R826" s="6"/>
      <c r="S826" s="6"/>
    </row>
    <row r="827" spans="1:19" x14ac:dyDescent="0.2">
      <c r="A827" s="1749"/>
      <c r="B827" s="1749"/>
      <c r="C827" s="1748"/>
      <c r="D827" s="1748"/>
      <c r="E827" s="1748"/>
      <c r="F827" s="1748"/>
      <c r="G827" s="1748"/>
      <c r="H827" s="1748"/>
      <c r="I827" s="1748"/>
      <c r="J827" s="1748"/>
      <c r="K827" s="1748"/>
      <c r="L827" s="1748"/>
      <c r="M827" s="1748"/>
      <c r="N827" s="1748"/>
      <c r="O827" s="1748"/>
      <c r="P827" s="6"/>
      <c r="Q827" s="6"/>
      <c r="R827" s="6"/>
      <c r="S827" s="6"/>
    </row>
    <row r="828" spans="1:19" x14ac:dyDescent="0.2">
      <c r="A828" s="1749"/>
      <c r="B828" s="1749"/>
      <c r="C828" s="1748"/>
      <c r="D828" s="1748"/>
      <c r="E828" s="1748"/>
      <c r="F828" s="1748"/>
      <c r="G828" s="1748"/>
      <c r="H828" s="1748"/>
      <c r="I828" s="1748"/>
      <c r="J828" s="1748"/>
      <c r="K828" s="1748"/>
      <c r="L828" s="1748"/>
      <c r="M828" s="1748"/>
      <c r="N828" s="1748"/>
      <c r="O828" s="1748"/>
      <c r="P828" s="6"/>
      <c r="Q828" s="6"/>
      <c r="R828" s="6"/>
      <c r="S828" s="6"/>
    </row>
    <row r="829" spans="1:19" x14ac:dyDescent="0.2">
      <c r="A829" s="1749"/>
      <c r="B829" s="1749"/>
      <c r="C829" s="1748"/>
      <c r="D829" s="1748"/>
      <c r="E829" s="1748"/>
      <c r="F829" s="1748"/>
      <c r="G829" s="1748"/>
      <c r="H829" s="1748"/>
      <c r="I829" s="1748"/>
      <c r="J829" s="1748"/>
      <c r="K829" s="1748"/>
      <c r="L829" s="1748"/>
      <c r="M829" s="1748"/>
      <c r="N829" s="1748"/>
      <c r="O829" s="1748"/>
      <c r="P829" s="6"/>
      <c r="Q829" s="6"/>
      <c r="R829" s="6"/>
      <c r="S829" s="6"/>
    </row>
    <row r="830" spans="1:19" x14ac:dyDescent="0.2">
      <c r="A830" s="1749"/>
      <c r="B830" s="1749"/>
      <c r="C830" s="1748"/>
      <c r="D830" s="1748"/>
      <c r="E830" s="1748"/>
      <c r="F830" s="1748"/>
      <c r="G830" s="1748"/>
      <c r="H830" s="1748"/>
      <c r="I830" s="1748"/>
      <c r="J830" s="1748"/>
      <c r="K830" s="1748"/>
      <c r="L830" s="1748"/>
      <c r="M830" s="1748"/>
      <c r="N830" s="1748"/>
      <c r="O830" s="1748"/>
      <c r="P830" s="6"/>
      <c r="Q830" s="6"/>
      <c r="R830" s="6"/>
      <c r="S830" s="6"/>
    </row>
    <row r="831" spans="1:19" x14ac:dyDescent="0.2">
      <c r="A831" s="1749"/>
      <c r="B831" s="1749"/>
      <c r="C831" s="1748"/>
      <c r="D831" s="1748"/>
      <c r="E831" s="1748"/>
      <c r="F831" s="1748"/>
      <c r="G831" s="1748"/>
      <c r="H831" s="1748"/>
      <c r="I831" s="1748"/>
      <c r="J831" s="1748"/>
      <c r="K831" s="1748"/>
      <c r="L831" s="1748"/>
      <c r="M831" s="1748"/>
      <c r="N831" s="1748"/>
      <c r="O831" s="1748"/>
      <c r="P831" s="6"/>
      <c r="Q831" s="6"/>
      <c r="R831" s="6"/>
      <c r="S831" s="6"/>
    </row>
    <row r="832" spans="1:19" x14ac:dyDescent="0.2">
      <c r="A832" s="1749"/>
      <c r="B832" s="1749"/>
      <c r="C832" s="1748"/>
      <c r="D832" s="1748"/>
      <c r="E832" s="1748"/>
      <c r="F832" s="1748"/>
      <c r="G832" s="1748"/>
      <c r="H832" s="1748"/>
      <c r="I832" s="1748"/>
      <c r="J832" s="1748"/>
      <c r="K832" s="1748"/>
      <c r="L832" s="1748"/>
      <c r="M832" s="1748"/>
      <c r="N832" s="1748"/>
      <c r="O832" s="1748"/>
      <c r="P832" s="6"/>
      <c r="Q832" s="6"/>
      <c r="R832" s="6"/>
      <c r="S832" s="6"/>
    </row>
    <row r="833" spans="1:19" x14ac:dyDescent="0.2">
      <c r="A833" s="1749"/>
      <c r="B833" s="1749"/>
      <c r="C833" s="1748"/>
      <c r="D833" s="1748"/>
      <c r="E833" s="1748"/>
      <c r="F833" s="1748"/>
      <c r="G833" s="1748"/>
      <c r="H833" s="1748"/>
      <c r="I833" s="1748"/>
      <c r="J833" s="1748"/>
      <c r="K833" s="1748"/>
      <c r="L833" s="1748"/>
      <c r="M833" s="1748"/>
      <c r="N833" s="1748"/>
      <c r="O833" s="1748"/>
      <c r="P833" s="6"/>
      <c r="Q833" s="6"/>
      <c r="R833" s="6"/>
      <c r="S833" s="6"/>
    </row>
    <row r="834" spans="1:19" x14ac:dyDescent="0.2">
      <c r="A834" s="1749"/>
      <c r="B834" s="1749"/>
      <c r="C834" s="1748"/>
      <c r="D834" s="1748"/>
      <c r="E834" s="1748"/>
      <c r="F834" s="1748"/>
      <c r="G834" s="1748"/>
      <c r="H834" s="1748"/>
      <c r="I834" s="1748"/>
      <c r="J834" s="1748"/>
      <c r="K834" s="1748"/>
      <c r="L834" s="1748"/>
      <c r="M834" s="1748"/>
      <c r="N834" s="1748"/>
      <c r="O834" s="1748"/>
      <c r="P834" s="6"/>
      <c r="Q834" s="6"/>
      <c r="R834" s="6"/>
      <c r="S834" s="6"/>
    </row>
    <row r="835" spans="1:19" x14ac:dyDescent="0.2">
      <c r="A835" s="1749"/>
      <c r="B835" s="1749"/>
      <c r="C835" s="1748"/>
      <c r="D835" s="1748"/>
      <c r="E835" s="1748"/>
      <c r="F835" s="1748"/>
      <c r="G835" s="1748"/>
      <c r="H835" s="1748"/>
      <c r="I835" s="1748"/>
      <c r="J835" s="1748"/>
      <c r="K835" s="1748"/>
      <c r="L835" s="1748"/>
      <c r="M835" s="1748"/>
      <c r="N835" s="1748"/>
      <c r="O835" s="1748"/>
      <c r="P835" s="6"/>
      <c r="Q835" s="6"/>
      <c r="R835" s="6"/>
      <c r="S835" s="6"/>
    </row>
    <row r="836" spans="1:19" x14ac:dyDescent="0.2">
      <c r="A836" s="1749"/>
      <c r="B836" s="1749"/>
      <c r="C836" s="1748"/>
      <c r="D836" s="1748"/>
      <c r="E836" s="1748"/>
      <c r="F836" s="1748"/>
      <c r="G836" s="1748"/>
      <c r="H836" s="1748"/>
      <c r="I836" s="1748"/>
      <c r="J836" s="1748"/>
      <c r="K836" s="1748"/>
      <c r="L836" s="1748"/>
      <c r="M836" s="1748"/>
      <c r="N836" s="1748"/>
      <c r="O836" s="1748"/>
      <c r="P836" s="6"/>
      <c r="Q836" s="6"/>
      <c r="R836" s="6"/>
      <c r="S836" s="6"/>
    </row>
    <row r="837" spans="1:19" x14ac:dyDescent="0.2">
      <c r="A837" s="1749"/>
      <c r="B837" s="1749"/>
      <c r="C837" s="1748"/>
      <c r="D837" s="1748"/>
      <c r="E837" s="1748"/>
      <c r="F837" s="1748"/>
      <c r="G837" s="1748"/>
      <c r="H837" s="1748"/>
      <c r="I837" s="1748"/>
      <c r="J837" s="1748"/>
      <c r="K837" s="1748"/>
      <c r="L837" s="1748"/>
      <c r="M837" s="1748"/>
      <c r="N837" s="1748"/>
      <c r="O837" s="1748"/>
      <c r="P837" s="6"/>
      <c r="Q837" s="6"/>
      <c r="R837" s="6"/>
      <c r="S837" s="6"/>
    </row>
    <row r="838" spans="1:19" x14ac:dyDescent="0.2">
      <c r="A838" s="1749"/>
      <c r="B838" s="1749"/>
      <c r="C838" s="1748"/>
      <c r="D838" s="1748"/>
      <c r="E838" s="1748"/>
      <c r="F838" s="1748"/>
      <c r="G838" s="1748"/>
      <c r="H838" s="1748"/>
      <c r="I838" s="1748"/>
      <c r="J838" s="1748"/>
      <c r="K838" s="1748"/>
      <c r="L838" s="1748"/>
      <c r="M838" s="1748"/>
      <c r="N838" s="1748"/>
      <c r="O838" s="1748"/>
      <c r="P838" s="6"/>
      <c r="Q838" s="6"/>
      <c r="R838" s="6"/>
      <c r="S838" s="6"/>
    </row>
    <row r="839" spans="1:19" x14ac:dyDescent="0.2">
      <c r="A839" s="1749"/>
      <c r="B839" s="1749"/>
      <c r="C839" s="1748"/>
      <c r="D839" s="1748"/>
      <c r="E839" s="1748"/>
      <c r="F839" s="1748"/>
      <c r="G839" s="1748"/>
      <c r="H839" s="1748"/>
      <c r="I839" s="1748"/>
      <c r="J839" s="1748"/>
      <c r="K839" s="1748"/>
      <c r="L839" s="1748"/>
      <c r="M839" s="1748"/>
      <c r="N839" s="1748"/>
      <c r="O839" s="1748"/>
      <c r="P839" s="6"/>
      <c r="Q839" s="6"/>
      <c r="R839" s="6"/>
      <c r="S839" s="6"/>
    </row>
    <row r="840" spans="1:19" x14ac:dyDescent="0.2">
      <c r="A840" s="1749"/>
      <c r="B840" s="1749"/>
      <c r="C840" s="1748"/>
      <c r="D840" s="1748"/>
      <c r="E840" s="1748"/>
      <c r="F840" s="1748"/>
      <c r="G840" s="1748"/>
      <c r="H840" s="1748"/>
      <c r="I840" s="1748"/>
      <c r="J840" s="1748"/>
      <c r="K840" s="1748"/>
      <c r="L840" s="1748"/>
      <c r="M840" s="1748"/>
      <c r="N840" s="1748"/>
      <c r="O840" s="1748"/>
      <c r="P840" s="6"/>
      <c r="Q840" s="6"/>
      <c r="R840" s="6"/>
      <c r="S840" s="6"/>
    </row>
    <row r="841" spans="1:19" x14ac:dyDescent="0.2">
      <c r="A841" s="1749"/>
      <c r="B841" s="1749"/>
      <c r="C841" s="1748"/>
      <c r="D841" s="1748"/>
      <c r="E841" s="1748"/>
      <c r="F841" s="1748"/>
      <c r="G841" s="1748"/>
      <c r="H841" s="1748"/>
      <c r="I841" s="1748"/>
      <c r="J841" s="1748"/>
      <c r="K841" s="1748"/>
      <c r="L841" s="1748"/>
      <c r="M841" s="1748"/>
      <c r="N841" s="1748"/>
      <c r="O841" s="1748"/>
      <c r="P841" s="6"/>
      <c r="Q841" s="6"/>
      <c r="R841" s="6"/>
      <c r="S841" s="6"/>
    </row>
    <row r="842" spans="1:19" x14ac:dyDescent="0.2">
      <c r="A842" s="1749"/>
      <c r="B842" s="1749"/>
      <c r="C842" s="1748"/>
      <c r="D842" s="1748"/>
      <c r="E842" s="1748"/>
      <c r="F842" s="1748"/>
      <c r="G842" s="1748"/>
      <c r="H842" s="1748"/>
      <c r="I842" s="1748"/>
      <c r="J842" s="1748"/>
      <c r="K842" s="1748"/>
      <c r="L842" s="1748"/>
      <c r="M842" s="1748"/>
      <c r="N842" s="1748"/>
      <c r="O842" s="1748"/>
      <c r="P842" s="6"/>
      <c r="Q842" s="6"/>
      <c r="R842" s="6"/>
      <c r="S842" s="6"/>
    </row>
    <row r="843" spans="1:19" x14ac:dyDescent="0.2">
      <c r="A843" s="1749"/>
      <c r="B843" s="1749"/>
      <c r="C843" s="1748"/>
      <c r="D843" s="1748"/>
      <c r="E843" s="1748"/>
      <c r="F843" s="1748"/>
      <c r="G843" s="1748"/>
      <c r="H843" s="1748"/>
      <c r="I843" s="1748"/>
      <c r="J843" s="1748"/>
      <c r="K843" s="1748"/>
      <c r="L843" s="1748"/>
      <c r="M843" s="1748"/>
      <c r="N843" s="1748"/>
      <c r="O843" s="1748"/>
      <c r="P843" s="6"/>
      <c r="Q843" s="6"/>
      <c r="R843" s="6"/>
      <c r="S843" s="6"/>
    </row>
    <row r="844" spans="1:19" x14ac:dyDescent="0.2">
      <c r="A844" s="1749"/>
      <c r="B844" s="1749"/>
      <c r="C844" s="1748"/>
      <c r="D844" s="1748"/>
      <c r="E844" s="1748"/>
      <c r="F844" s="1748"/>
      <c r="G844" s="1748"/>
      <c r="H844" s="1748"/>
      <c r="I844" s="1748"/>
      <c r="J844" s="1748"/>
      <c r="K844" s="1748"/>
      <c r="L844" s="1748"/>
      <c r="M844" s="1748"/>
      <c r="N844" s="1748"/>
      <c r="O844" s="1748"/>
      <c r="P844" s="6"/>
      <c r="Q844" s="6"/>
      <c r="R844" s="6"/>
      <c r="S844" s="6"/>
    </row>
    <row r="845" spans="1:19" x14ac:dyDescent="0.2">
      <c r="A845" s="1749"/>
      <c r="B845" s="1749"/>
      <c r="C845" s="1748"/>
      <c r="D845" s="1748"/>
      <c r="E845" s="1748"/>
      <c r="F845" s="1748"/>
      <c r="G845" s="1748"/>
      <c r="H845" s="1748"/>
      <c r="I845" s="1748"/>
      <c r="J845" s="1748"/>
      <c r="K845" s="1748"/>
      <c r="L845" s="1748"/>
      <c r="M845" s="1748"/>
      <c r="N845" s="1748"/>
      <c r="O845" s="1748"/>
      <c r="P845" s="6"/>
      <c r="Q845" s="6"/>
      <c r="R845" s="6"/>
      <c r="S845" s="6"/>
    </row>
    <row r="846" spans="1:19" x14ac:dyDescent="0.2">
      <c r="A846" s="1749"/>
      <c r="B846" s="1749"/>
      <c r="C846" s="1748"/>
      <c r="D846" s="1748"/>
      <c r="E846" s="1748"/>
      <c r="F846" s="1748"/>
      <c r="G846" s="1748"/>
      <c r="H846" s="1748"/>
      <c r="I846" s="1748"/>
      <c r="J846" s="1748"/>
      <c r="K846" s="1748"/>
      <c r="L846" s="1748"/>
      <c r="M846" s="1748"/>
      <c r="N846" s="1748"/>
      <c r="O846" s="1748"/>
      <c r="P846" s="6"/>
      <c r="Q846" s="6"/>
      <c r="R846" s="6"/>
      <c r="S846" s="6"/>
    </row>
    <row r="847" spans="1:19" x14ac:dyDescent="0.2">
      <c r="A847" s="1749"/>
      <c r="B847" s="1749"/>
      <c r="C847" s="1748"/>
      <c r="D847" s="1748"/>
      <c r="E847" s="1748"/>
      <c r="F847" s="1748"/>
      <c r="G847" s="1748"/>
      <c r="H847" s="1748"/>
      <c r="I847" s="1748"/>
      <c r="J847" s="1748"/>
      <c r="K847" s="1748"/>
      <c r="L847" s="1748"/>
      <c r="M847" s="1748"/>
      <c r="N847" s="1748"/>
      <c r="O847" s="1748"/>
      <c r="P847" s="6"/>
      <c r="Q847" s="6"/>
      <c r="R847" s="6"/>
      <c r="S847" s="6"/>
    </row>
    <row r="848" spans="1:19" x14ac:dyDescent="0.2">
      <c r="A848" s="1749"/>
      <c r="B848" s="1749"/>
      <c r="C848" s="1748"/>
      <c r="D848" s="1748"/>
      <c r="E848" s="1748"/>
      <c r="F848" s="1748"/>
      <c r="G848" s="1748"/>
      <c r="H848" s="1748"/>
      <c r="I848" s="1748"/>
      <c r="J848" s="1748"/>
      <c r="K848" s="1748"/>
      <c r="L848" s="1748"/>
      <c r="M848" s="1748"/>
      <c r="N848" s="1748"/>
      <c r="O848" s="1748"/>
      <c r="P848" s="6"/>
      <c r="Q848" s="6"/>
      <c r="R848" s="6"/>
      <c r="S848" s="6"/>
    </row>
    <row r="849" spans="1:19" x14ac:dyDescent="0.2">
      <c r="A849" s="1749"/>
      <c r="B849" s="1749"/>
      <c r="C849" s="1748"/>
      <c r="D849" s="1748"/>
      <c r="E849" s="1748"/>
      <c r="F849" s="1748"/>
      <c r="G849" s="1748"/>
      <c r="H849" s="1748"/>
      <c r="I849" s="1748"/>
      <c r="J849" s="1748"/>
      <c r="K849" s="1748"/>
      <c r="L849" s="1748"/>
      <c r="M849" s="1748"/>
      <c r="N849" s="1748"/>
      <c r="O849" s="1748"/>
      <c r="P849" s="6"/>
      <c r="Q849" s="6"/>
      <c r="R849" s="6"/>
      <c r="S849" s="6"/>
    </row>
    <row r="850" spans="1:19" x14ac:dyDescent="0.2">
      <c r="A850" s="1749"/>
      <c r="B850" s="1749"/>
      <c r="C850" s="1748"/>
      <c r="D850" s="1748"/>
      <c r="E850" s="1748"/>
      <c r="F850" s="1748"/>
      <c r="G850" s="1748"/>
      <c r="H850" s="1748"/>
      <c r="I850" s="1748"/>
      <c r="J850" s="1748"/>
      <c r="K850" s="1748"/>
      <c r="L850" s="1748"/>
      <c r="M850" s="1748"/>
      <c r="N850" s="1748"/>
      <c r="O850" s="1748"/>
      <c r="P850" s="6"/>
      <c r="Q850" s="6"/>
      <c r="R850" s="6"/>
      <c r="S850" s="6"/>
    </row>
    <row r="851" spans="1:19" x14ac:dyDescent="0.2">
      <c r="A851" s="1749"/>
      <c r="B851" s="1749"/>
      <c r="C851" s="1748"/>
      <c r="D851" s="1748"/>
      <c r="E851" s="1748"/>
      <c r="F851" s="1748"/>
      <c r="G851" s="1748"/>
      <c r="H851" s="1748"/>
      <c r="I851" s="1748"/>
      <c r="J851" s="1748"/>
      <c r="K851" s="1748"/>
      <c r="L851" s="1748"/>
      <c r="M851" s="1748"/>
      <c r="N851" s="1748"/>
      <c r="O851" s="1748"/>
      <c r="P851" s="6"/>
      <c r="Q851" s="6"/>
      <c r="R851" s="6"/>
      <c r="S851" s="6"/>
    </row>
    <row r="852" spans="1:19" x14ac:dyDescent="0.2">
      <c r="A852" s="1749"/>
      <c r="B852" s="1749"/>
      <c r="C852" s="1748"/>
      <c r="D852" s="1748"/>
      <c r="E852" s="1748"/>
      <c r="F852" s="1748"/>
      <c r="G852" s="1748"/>
      <c r="H852" s="1748"/>
      <c r="I852" s="1748"/>
      <c r="J852" s="1748"/>
      <c r="K852" s="1748"/>
      <c r="L852" s="1748"/>
      <c r="M852" s="1748"/>
      <c r="N852" s="1748"/>
      <c r="O852" s="1748"/>
      <c r="P852" s="6"/>
      <c r="Q852" s="6"/>
      <c r="R852" s="6"/>
      <c r="S852" s="6"/>
    </row>
    <row r="853" spans="1:19" x14ac:dyDescent="0.2">
      <c r="A853" s="1749"/>
      <c r="B853" s="1749"/>
      <c r="C853" s="1748"/>
      <c r="D853" s="1748"/>
      <c r="E853" s="1748"/>
      <c r="F853" s="1748"/>
      <c r="G853" s="1748"/>
      <c r="H853" s="1748"/>
      <c r="I853" s="1748"/>
      <c r="J853" s="1748"/>
      <c r="K853" s="1748"/>
      <c r="L853" s="1748"/>
      <c r="M853" s="1748"/>
      <c r="N853" s="1748"/>
      <c r="O853" s="1748"/>
      <c r="P853" s="6"/>
      <c r="Q853" s="6"/>
      <c r="R853" s="6"/>
      <c r="S853" s="6"/>
    </row>
    <row r="854" spans="1:19" x14ac:dyDescent="0.2">
      <c r="A854" s="1749"/>
      <c r="B854" s="1749"/>
      <c r="C854" s="1748"/>
      <c r="D854" s="1748"/>
      <c r="E854" s="1748"/>
      <c r="F854" s="1748"/>
      <c r="G854" s="1748"/>
      <c r="H854" s="1748"/>
      <c r="I854" s="1748"/>
      <c r="J854" s="1748"/>
      <c r="K854" s="1748"/>
      <c r="L854" s="1748"/>
      <c r="M854" s="1748"/>
      <c r="N854" s="1748"/>
      <c r="O854" s="1748"/>
      <c r="P854" s="6"/>
      <c r="Q854" s="6"/>
      <c r="R854" s="6"/>
      <c r="S854" s="6"/>
    </row>
    <row r="855" spans="1:19" x14ac:dyDescent="0.2">
      <c r="A855" s="1749"/>
      <c r="B855" s="1749"/>
      <c r="C855" s="1748"/>
      <c r="D855" s="1748"/>
      <c r="E855" s="1748"/>
      <c r="F855" s="1748"/>
      <c r="G855" s="1748"/>
      <c r="H855" s="1748"/>
      <c r="I855" s="1748"/>
      <c r="J855" s="1748"/>
      <c r="K855" s="1748"/>
      <c r="L855" s="1748"/>
      <c r="M855" s="1748"/>
      <c r="N855" s="1748"/>
      <c r="O855" s="1748"/>
      <c r="P855" s="6"/>
      <c r="Q855" s="6"/>
      <c r="R855" s="6"/>
      <c r="S855" s="6"/>
    </row>
    <row r="856" spans="1:19" x14ac:dyDescent="0.2">
      <c r="A856" s="1749"/>
      <c r="B856" s="1749"/>
      <c r="C856" s="1748"/>
      <c r="D856" s="1748"/>
      <c r="E856" s="1748"/>
      <c r="F856" s="1748"/>
      <c r="G856" s="1748"/>
      <c r="H856" s="1748"/>
      <c r="I856" s="1748"/>
      <c r="J856" s="1748"/>
      <c r="K856" s="1748"/>
      <c r="L856" s="1748"/>
      <c r="M856" s="1748"/>
      <c r="N856" s="1748"/>
      <c r="O856" s="1748"/>
      <c r="P856" s="6"/>
      <c r="Q856" s="6"/>
      <c r="R856" s="6"/>
      <c r="S856" s="6"/>
    </row>
    <row r="857" spans="1:19" x14ac:dyDescent="0.2">
      <c r="A857" s="1749"/>
      <c r="B857" s="1749"/>
      <c r="C857" s="1748"/>
      <c r="D857" s="1748"/>
      <c r="E857" s="1748"/>
      <c r="F857" s="1748"/>
      <c r="G857" s="1748"/>
      <c r="H857" s="1748"/>
      <c r="I857" s="1748"/>
      <c r="J857" s="1748"/>
      <c r="K857" s="1748"/>
      <c r="L857" s="1748"/>
      <c r="M857" s="1748"/>
      <c r="N857" s="1748"/>
      <c r="O857" s="1748"/>
      <c r="P857" s="6"/>
      <c r="Q857" s="6"/>
      <c r="R857" s="6"/>
      <c r="S857" s="6"/>
    </row>
    <row r="858" spans="1:19" x14ac:dyDescent="0.2">
      <c r="A858" s="1749"/>
      <c r="B858" s="1749"/>
      <c r="C858" s="1748"/>
      <c r="D858" s="1748"/>
      <c r="E858" s="1748"/>
      <c r="F858" s="1748"/>
      <c r="G858" s="1748"/>
      <c r="H858" s="1748"/>
      <c r="I858" s="1748"/>
      <c r="J858" s="1748"/>
      <c r="K858" s="1748"/>
      <c r="L858" s="1748"/>
      <c r="M858" s="1748"/>
      <c r="N858" s="1748"/>
      <c r="O858" s="1748"/>
      <c r="P858" s="6"/>
      <c r="Q858" s="6"/>
      <c r="R858" s="6"/>
      <c r="S858" s="6"/>
    </row>
    <row r="859" spans="1:19" x14ac:dyDescent="0.2">
      <c r="A859" s="1749"/>
      <c r="B859" s="1749"/>
      <c r="C859" s="1748"/>
      <c r="D859" s="1748"/>
      <c r="E859" s="1748"/>
      <c r="F859" s="1748"/>
      <c r="G859" s="1748"/>
      <c r="H859" s="1748"/>
      <c r="I859" s="1748"/>
      <c r="J859" s="1748"/>
      <c r="K859" s="1748"/>
      <c r="L859" s="1748"/>
      <c r="M859" s="1748"/>
      <c r="N859" s="1748"/>
      <c r="O859" s="1748"/>
      <c r="P859" s="6"/>
      <c r="Q859" s="6"/>
      <c r="R859" s="6"/>
      <c r="S859" s="6"/>
    </row>
    <row r="860" spans="1:19" x14ac:dyDescent="0.2">
      <c r="A860" s="1749"/>
      <c r="B860" s="1749"/>
      <c r="C860" s="1748"/>
      <c r="D860" s="1748"/>
      <c r="E860" s="1748"/>
      <c r="F860" s="1748"/>
      <c r="G860" s="1748"/>
      <c r="H860" s="1748"/>
      <c r="I860" s="1748"/>
      <c r="J860" s="1748"/>
      <c r="K860" s="1748"/>
      <c r="L860" s="1748"/>
      <c r="M860" s="1748"/>
      <c r="N860" s="1748"/>
      <c r="O860" s="1748"/>
      <c r="P860" s="6"/>
      <c r="Q860" s="6"/>
      <c r="R860" s="6"/>
      <c r="S860" s="6"/>
    </row>
    <row r="861" spans="1:19" x14ac:dyDescent="0.2">
      <c r="A861" s="1749"/>
      <c r="B861" s="1749"/>
      <c r="C861" s="1748"/>
      <c r="D861" s="1748"/>
      <c r="E861" s="1748"/>
      <c r="F861" s="1748"/>
      <c r="G861" s="1748"/>
      <c r="H861" s="1748"/>
      <c r="I861" s="1748"/>
      <c r="J861" s="1748"/>
      <c r="K861" s="1748"/>
      <c r="L861" s="1748"/>
      <c r="M861" s="1748"/>
      <c r="N861" s="1748"/>
      <c r="O861" s="1748"/>
      <c r="P861" s="6"/>
      <c r="Q861" s="6"/>
      <c r="R861" s="6"/>
      <c r="S861" s="6"/>
    </row>
    <row r="862" spans="1:19" x14ac:dyDescent="0.2">
      <c r="A862" s="1749"/>
      <c r="B862" s="1749"/>
      <c r="C862" s="1748"/>
      <c r="D862" s="1748"/>
      <c r="E862" s="1748"/>
      <c r="F862" s="1748"/>
      <c r="G862" s="1748"/>
      <c r="H862" s="1748"/>
      <c r="I862" s="1748"/>
      <c r="J862" s="1748"/>
      <c r="K862" s="1748"/>
      <c r="L862" s="1748"/>
      <c r="M862" s="1748"/>
      <c r="N862" s="1748"/>
      <c r="O862" s="1748"/>
      <c r="P862" s="6"/>
      <c r="Q862" s="6"/>
      <c r="R862" s="6"/>
      <c r="S862" s="6"/>
    </row>
    <row r="863" spans="1:19" x14ac:dyDescent="0.2">
      <c r="A863" s="1749"/>
      <c r="B863" s="1749"/>
      <c r="C863" s="1748"/>
      <c r="D863" s="1748"/>
      <c r="E863" s="1748"/>
      <c r="F863" s="1748"/>
      <c r="G863" s="1748"/>
      <c r="H863" s="1748"/>
      <c r="I863" s="1748"/>
      <c r="J863" s="1748"/>
      <c r="K863" s="1748"/>
      <c r="L863" s="1748"/>
      <c r="M863" s="1748"/>
      <c r="N863" s="1748"/>
      <c r="O863" s="1748"/>
      <c r="P863" s="6"/>
      <c r="Q863" s="6"/>
      <c r="R863" s="6"/>
      <c r="S863" s="6"/>
    </row>
    <row r="864" spans="1:19" x14ac:dyDescent="0.2">
      <c r="A864" s="1749"/>
      <c r="B864" s="1749"/>
      <c r="C864" s="1748"/>
      <c r="D864" s="1748"/>
      <c r="E864" s="1748"/>
      <c r="F864" s="1748"/>
      <c r="G864" s="1748"/>
      <c r="H864" s="1748"/>
      <c r="I864" s="1748"/>
      <c r="J864" s="1748"/>
      <c r="K864" s="1748"/>
      <c r="L864" s="1748"/>
      <c r="M864" s="1748"/>
      <c r="N864" s="1748"/>
      <c r="O864" s="1748"/>
      <c r="P864" s="6"/>
      <c r="Q864" s="6"/>
      <c r="R864" s="6"/>
      <c r="S864" s="6"/>
    </row>
    <row r="865" spans="1:19" x14ac:dyDescent="0.2">
      <c r="A865" s="1749"/>
      <c r="B865" s="1749"/>
      <c r="C865" s="1748"/>
      <c r="D865" s="1748"/>
      <c r="E865" s="1748"/>
      <c r="F865" s="1748"/>
      <c r="G865" s="1748"/>
      <c r="H865" s="1748"/>
      <c r="I865" s="1748"/>
      <c r="J865" s="1748"/>
      <c r="K865" s="1748"/>
      <c r="L865" s="1748"/>
      <c r="M865" s="1748"/>
      <c r="N865" s="1748"/>
      <c r="O865" s="1748"/>
      <c r="P865" s="6"/>
      <c r="Q865" s="6"/>
      <c r="R865" s="6"/>
      <c r="S865" s="6"/>
    </row>
    <row r="866" spans="1:19" x14ac:dyDescent="0.2">
      <c r="A866" s="1749"/>
      <c r="B866" s="1749"/>
      <c r="C866" s="1748"/>
      <c r="D866" s="1748"/>
      <c r="E866" s="1748"/>
      <c r="F866" s="1748"/>
      <c r="G866" s="1748"/>
      <c r="H866" s="1748"/>
      <c r="I866" s="1748"/>
      <c r="J866" s="1748"/>
      <c r="K866" s="1748"/>
      <c r="L866" s="1748"/>
      <c r="M866" s="1748"/>
      <c r="N866" s="1748"/>
      <c r="O866" s="1748"/>
      <c r="P866" s="6"/>
      <c r="Q866" s="6"/>
      <c r="R866" s="6"/>
      <c r="S866" s="6"/>
    </row>
    <row r="867" spans="1:19" x14ac:dyDescent="0.2">
      <c r="A867" s="1749"/>
      <c r="B867" s="1749"/>
      <c r="C867" s="1748"/>
      <c r="D867" s="1748"/>
      <c r="E867" s="1748"/>
      <c r="F867" s="1748"/>
      <c r="G867" s="1748"/>
      <c r="H867" s="1748"/>
      <c r="I867" s="1748"/>
      <c r="J867" s="1748"/>
      <c r="K867" s="1748"/>
      <c r="L867" s="1748"/>
      <c r="M867" s="1748"/>
      <c r="N867" s="1748"/>
      <c r="O867" s="1748"/>
      <c r="P867" s="6"/>
      <c r="Q867" s="6"/>
      <c r="R867" s="6"/>
      <c r="S867" s="6"/>
    </row>
    <row r="868" spans="1:19" x14ac:dyDescent="0.2">
      <c r="A868" s="1749"/>
      <c r="B868" s="1749"/>
      <c r="C868" s="1748"/>
      <c r="D868" s="1748"/>
      <c r="E868" s="1748"/>
      <c r="F868" s="1748"/>
      <c r="G868" s="1748"/>
      <c r="H868" s="1748"/>
      <c r="I868" s="1748"/>
      <c r="J868" s="1748"/>
      <c r="K868" s="1748"/>
      <c r="L868" s="1748"/>
      <c r="M868" s="1748"/>
      <c r="N868" s="1748"/>
      <c r="O868" s="1748"/>
      <c r="P868" s="6"/>
      <c r="Q868" s="6"/>
      <c r="R868" s="6"/>
      <c r="S868" s="6"/>
    </row>
    <row r="869" spans="1:19" x14ac:dyDescent="0.2">
      <c r="A869" s="1749"/>
      <c r="B869" s="1749"/>
      <c r="C869" s="1748"/>
      <c r="D869" s="1748"/>
      <c r="E869" s="1748"/>
      <c r="F869" s="1748"/>
      <c r="G869" s="1748"/>
      <c r="H869" s="1748"/>
      <c r="I869" s="1748"/>
      <c r="J869" s="1748"/>
      <c r="K869" s="1748"/>
      <c r="L869" s="1748"/>
      <c r="M869" s="1748"/>
      <c r="N869" s="1748"/>
      <c r="O869" s="1748"/>
      <c r="P869" s="6"/>
      <c r="Q869" s="6"/>
      <c r="R869" s="6"/>
      <c r="S869" s="6"/>
    </row>
    <row r="870" spans="1:19" x14ac:dyDescent="0.2">
      <c r="A870" s="1749"/>
      <c r="B870" s="1749"/>
      <c r="C870" s="1748"/>
      <c r="D870" s="1748"/>
      <c r="E870" s="1748"/>
      <c r="F870" s="1748"/>
      <c r="G870" s="1748"/>
      <c r="H870" s="1748"/>
      <c r="I870" s="1748"/>
      <c r="J870" s="1748"/>
      <c r="K870" s="1748"/>
      <c r="L870" s="1748"/>
      <c r="M870" s="1748"/>
      <c r="N870" s="1748"/>
      <c r="O870" s="1748"/>
      <c r="P870" s="6"/>
      <c r="Q870" s="6"/>
      <c r="R870" s="6"/>
      <c r="S870" s="6"/>
    </row>
    <row r="871" spans="1:19" x14ac:dyDescent="0.2">
      <c r="A871" s="1749"/>
      <c r="B871" s="1749"/>
      <c r="C871" s="1748"/>
      <c r="D871" s="1748"/>
      <c r="E871" s="1748"/>
      <c r="F871" s="1748"/>
      <c r="G871" s="1748"/>
      <c r="H871" s="1748"/>
      <c r="I871" s="1748"/>
      <c r="J871" s="1748"/>
      <c r="K871" s="1748"/>
      <c r="L871" s="1748"/>
      <c r="M871" s="1748"/>
      <c r="N871" s="1748"/>
      <c r="O871" s="1748"/>
      <c r="P871" s="6"/>
      <c r="Q871" s="6"/>
      <c r="R871" s="6"/>
      <c r="S871" s="6"/>
    </row>
    <row r="872" spans="1:19" x14ac:dyDescent="0.2">
      <c r="A872" s="1749"/>
      <c r="B872" s="1749"/>
      <c r="C872" s="1748"/>
      <c r="D872" s="1748"/>
      <c r="E872" s="1748"/>
      <c r="F872" s="1748"/>
      <c r="G872" s="1748"/>
      <c r="H872" s="1748"/>
      <c r="I872" s="1748"/>
      <c r="J872" s="1748"/>
      <c r="K872" s="1748"/>
      <c r="L872" s="1748"/>
      <c r="M872" s="1748"/>
      <c r="N872" s="1748"/>
      <c r="O872" s="1748"/>
      <c r="P872" s="6"/>
      <c r="Q872" s="6"/>
      <c r="R872" s="6"/>
      <c r="S872" s="6"/>
    </row>
    <row r="873" spans="1:19" x14ac:dyDescent="0.2">
      <c r="A873" s="1749"/>
      <c r="B873" s="1749"/>
      <c r="C873" s="1748"/>
      <c r="D873" s="1748"/>
      <c r="E873" s="1748"/>
      <c r="F873" s="1748"/>
      <c r="G873" s="1748"/>
      <c r="H873" s="1748"/>
      <c r="I873" s="1748"/>
      <c r="J873" s="1748"/>
      <c r="K873" s="1748"/>
      <c r="L873" s="1748"/>
      <c r="M873" s="1748"/>
      <c r="N873" s="1748"/>
      <c r="O873" s="1748"/>
      <c r="P873" s="6"/>
      <c r="Q873" s="6"/>
      <c r="R873" s="6"/>
      <c r="S873" s="6"/>
    </row>
    <row r="874" spans="1:19" x14ac:dyDescent="0.2">
      <c r="A874" s="1749"/>
      <c r="B874" s="1749"/>
      <c r="C874" s="1748"/>
      <c r="D874" s="1748"/>
      <c r="E874" s="1748"/>
      <c r="F874" s="1748"/>
      <c r="G874" s="1748"/>
      <c r="H874" s="1748"/>
      <c r="I874" s="1748"/>
      <c r="J874" s="1748"/>
      <c r="K874" s="1748"/>
      <c r="L874" s="1748"/>
      <c r="M874" s="1748"/>
      <c r="N874" s="1748"/>
      <c r="O874" s="1748"/>
      <c r="P874" s="6"/>
      <c r="Q874" s="6"/>
      <c r="R874" s="6"/>
      <c r="S874" s="6"/>
    </row>
    <row r="875" spans="1:19" x14ac:dyDescent="0.2">
      <c r="A875" s="1749"/>
      <c r="B875" s="1749"/>
      <c r="C875" s="1748"/>
      <c r="D875" s="1748"/>
      <c r="E875" s="1748"/>
      <c r="F875" s="1748"/>
      <c r="G875" s="1748"/>
      <c r="H875" s="1748"/>
      <c r="I875" s="1748"/>
      <c r="J875" s="1748"/>
      <c r="K875" s="1748"/>
      <c r="L875" s="1748"/>
      <c r="M875" s="1748"/>
      <c r="N875" s="1748"/>
      <c r="O875" s="1748"/>
      <c r="P875" s="6"/>
      <c r="Q875" s="6"/>
      <c r="R875" s="6"/>
      <c r="S875" s="6"/>
    </row>
    <row r="876" spans="1:19" x14ac:dyDescent="0.2">
      <c r="A876" s="1749"/>
      <c r="B876" s="1749"/>
      <c r="C876" s="1748"/>
      <c r="D876" s="1748"/>
      <c r="E876" s="1748"/>
      <c r="F876" s="1748"/>
      <c r="G876" s="1748"/>
      <c r="H876" s="1748"/>
      <c r="I876" s="1748"/>
      <c r="J876" s="1748"/>
      <c r="K876" s="1748"/>
      <c r="L876" s="1748"/>
      <c r="M876" s="1748"/>
      <c r="N876" s="1748"/>
      <c r="O876" s="1748"/>
      <c r="P876" s="6"/>
      <c r="Q876" s="6"/>
      <c r="R876" s="6"/>
      <c r="S876" s="6"/>
    </row>
    <row r="877" spans="1:19" x14ac:dyDescent="0.2">
      <c r="A877" s="1749"/>
      <c r="B877" s="1749"/>
      <c r="C877" s="1748"/>
      <c r="D877" s="1748"/>
      <c r="E877" s="1748"/>
      <c r="F877" s="1748"/>
      <c r="G877" s="1748"/>
      <c r="H877" s="1748"/>
      <c r="I877" s="1748"/>
      <c r="J877" s="1748"/>
      <c r="K877" s="1748"/>
      <c r="L877" s="1748"/>
      <c r="M877" s="1748"/>
      <c r="N877" s="1748"/>
      <c r="O877" s="1748"/>
      <c r="P877" s="6"/>
      <c r="Q877" s="6"/>
      <c r="R877" s="6"/>
      <c r="S877" s="6"/>
    </row>
    <row r="878" spans="1:19" x14ac:dyDescent="0.2">
      <c r="A878" s="1749"/>
      <c r="B878" s="1749"/>
      <c r="C878" s="1748"/>
      <c r="D878" s="1748"/>
      <c r="E878" s="1748"/>
      <c r="F878" s="1748"/>
      <c r="G878" s="1748"/>
      <c r="H878" s="1748"/>
      <c r="I878" s="1748"/>
      <c r="J878" s="1748"/>
      <c r="K878" s="1748"/>
      <c r="L878" s="1748"/>
      <c r="M878" s="1748"/>
      <c r="N878" s="1748"/>
      <c r="O878" s="1748"/>
      <c r="P878" s="6"/>
      <c r="Q878" s="6"/>
      <c r="R878" s="6"/>
      <c r="S878" s="6"/>
    </row>
    <row r="879" spans="1:19" x14ac:dyDescent="0.2">
      <c r="A879" s="1749"/>
      <c r="B879" s="1749"/>
      <c r="C879" s="1748"/>
      <c r="D879" s="1748"/>
      <c r="E879" s="1748"/>
      <c r="F879" s="1748"/>
      <c r="G879" s="1748"/>
      <c r="H879" s="1748"/>
      <c r="I879" s="1748"/>
      <c r="J879" s="1748"/>
      <c r="K879" s="1748"/>
      <c r="L879" s="1748"/>
      <c r="M879" s="1748"/>
      <c r="N879" s="1748"/>
      <c r="O879" s="1748"/>
      <c r="P879" s="6"/>
      <c r="Q879" s="6"/>
      <c r="R879" s="6"/>
      <c r="S879" s="6"/>
    </row>
    <row r="880" spans="1:19" x14ac:dyDescent="0.2">
      <c r="A880" s="1749"/>
      <c r="B880" s="1749"/>
      <c r="C880" s="1748"/>
      <c r="D880" s="1748"/>
      <c r="E880" s="1748"/>
      <c r="F880" s="1748"/>
      <c r="G880" s="1748"/>
      <c r="H880" s="1748"/>
      <c r="I880" s="1748"/>
      <c r="J880" s="1748"/>
      <c r="K880" s="1748"/>
      <c r="L880" s="1748"/>
      <c r="M880" s="1748"/>
      <c r="N880" s="1748"/>
      <c r="O880" s="1748"/>
      <c r="P880" s="6"/>
      <c r="Q880" s="6"/>
      <c r="R880" s="6"/>
      <c r="S880" s="6"/>
    </row>
    <row r="881" spans="1:19" x14ac:dyDescent="0.2">
      <c r="A881" s="1749"/>
      <c r="B881" s="1749"/>
      <c r="C881" s="1748"/>
      <c r="D881" s="1748"/>
      <c r="E881" s="1748"/>
      <c r="F881" s="1748"/>
      <c r="G881" s="1748"/>
      <c r="H881" s="1748"/>
      <c r="I881" s="1748"/>
      <c r="J881" s="1748"/>
      <c r="K881" s="1748"/>
      <c r="L881" s="1748"/>
      <c r="M881" s="1748"/>
      <c r="N881" s="1748"/>
      <c r="O881" s="1748"/>
      <c r="P881" s="6"/>
      <c r="Q881" s="6"/>
      <c r="R881" s="6"/>
      <c r="S881" s="6"/>
    </row>
    <row r="882" spans="1:19" x14ac:dyDescent="0.2">
      <c r="A882" s="1749"/>
      <c r="B882" s="1749"/>
      <c r="C882" s="1748"/>
      <c r="D882" s="1748"/>
      <c r="E882" s="1748"/>
      <c r="F882" s="1748"/>
      <c r="G882" s="1748"/>
      <c r="H882" s="1748"/>
      <c r="I882" s="1748"/>
      <c r="J882" s="1748"/>
      <c r="K882" s="1748"/>
      <c r="L882" s="1748"/>
      <c r="M882" s="1748"/>
      <c r="N882" s="1748"/>
      <c r="O882" s="1748"/>
      <c r="P882" s="6"/>
      <c r="Q882" s="6"/>
      <c r="R882" s="6"/>
      <c r="S882" s="6"/>
    </row>
    <row r="883" spans="1:19" x14ac:dyDescent="0.2">
      <c r="A883" s="1749"/>
      <c r="B883" s="1749"/>
      <c r="C883" s="1748"/>
      <c r="D883" s="1748"/>
      <c r="E883" s="1748"/>
      <c r="F883" s="1748"/>
      <c r="G883" s="1748"/>
      <c r="H883" s="1748"/>
      <c r="I883" s="1748"/>
      <c r="J883" s="1748"/>
      <c r="K883" s="1748"/>
      <c r="L883" s="1748"/>
      <c r="M883" s="1748"/>
      <c r="N883" s="1748"/>
      <c r="O883" s="1748"/>
      <c r="P883" s="6"/>
      <c r="Q883" s="6"/>
      <c r="R883" s="6"/>
      <c r="S883" s="6"/>
    </row>
    <row r="884" spans="1:19" x14ac:dyDescent="0.2">
      <c r="A884" s="1749"/>
      <c r="B884" s="1749"/>
      <c r="C884" s="1748"/>
      <c r="D884" s="1748"/>
      <c r="E884" s="1748"/>
      <c r="F884" s="1748"/>
      <c r="G884" s="1748"/>
      <c r="H884" s="1748"/>
      <c r="I884" s="1748"/>
      <c r="J884" s="1748"/>
      <c r="K884" s="1748"/>
      <c r="L884" s="1748"/>
      <c r="M884" s="1748"/>
      <c r="N884" s="1748"/>
      <c r="O884" s="1748"/>
      <c r="P884" s="6"/>
      <c r="Q884" s="6"/>
      <c r="R884" s="6"/>
      <c r="S884" s="6"/>
    </row>
    <row r="885" spans="1:19" x14ac:dyDescent="0.2">
      <c r="A885" s="1749"/>
      <c r="B885" s="1749"/>
      <c r="C885" s="1748"/>
      <c r="D885" s="1748"/>
      <c r="E885" s="1748"/>
      <c r="F885" s="1748"/>
      <c r="G885" s="1748"/>
      <c r="H885" s="1748"/>
      <c r="I885" s="1748"/>
      <c r="J885" s="1748"/>
      <c r="K885" s="1748"/>
      <c r="L885" s="1748"/>
      <c r="M885" s="1748"/>
      <c r="N885" s="1748"/>
      <c r="O885" s="1748"/>
      <c r="P885" s="6"/>
      <c r="Q885" s="6"/>
      <c r="R885" s="6"/>
      <c r="S885" s="6"/>
    </row>
    <row r="886" spans="1:19" x14ac:dyDescent="0.2">
      <c r="A886" s="1749"/>
      <c r="B886" s="1749"/>
      <c r="C886" s="1748"/>
      <c r="D886" s="1748"/>
      <c r="E886" s="1748"/>
      <c r="F886" s="1748"/>
      <c r="G886" s="1748"/>
      <c r="H886" s="1748"/>
      <c r="I886" s="1748"/>
      <c r="J886" s="1748"/>
      <c r="K886" s="1748"/>
      <c r="L886" s="1748"/>
      <c r="M886" s="1748"/>
      <c r="N886" s="1748"/>
      <c r="O886" s="1748"/>
      <c r="P886" s="6"/>
      <c r="Q886" s="6"/>
      <c r="R886" s="6"/>
      <c r="S886" s="6"/>
    </row>
    <row r="887" spans="1:19" x14ac:dyDescent="0.2">
      <c r="A887" s="1749"/>
      <c r="B887" s="1749"/>
      <c r="C887" s="1748"/>
      <c r="D887" s="1748"/>
      <c r="E887" s="1748"/>
      <c r="F887" s="1748"/>
      <c r="G887" s="1748"/>
      <c r="H887" s="1748"/>
      <c r="I887" s="1748"/>
      <c r="J887" s="1748"/>
      <c r="K887" s="1748"/>
      <c r="L887" s="1748"/>
      <c r="M887" s="1748"/>
      <c r="N887" s="1748"/>
      <c r="O887" s="1748"/>
      <c r="P887" s="6"/>
      <c r="Q887" s="6"/>
      <c r="R887" s="6"/>
      <c r="S887" s="6"/>
    </row>
    <row r="888" spans="1:19" x14ac:dyDescent="0.2">
      <c r="A888" s="1749"/>
      <c r="B888" s="1749"/>
      <c r="C888" s="1748"/>
      <c r="D888" s="1748"/>
      <c r="E888" s="1748"/>
      <c r="F888" s="1748"/>
      <c r="G888" s="1748"/>
      <c r="H888" s="1748"/>
      <c r="I888" s="1748"/>
      <c r="J888" s="1748"/>
      <c r="K888" s="1748"/>
      <c r="L888" s="1748"/>
      <c r="M888" s="1748"/>
      <c r="N888" s="1748"/>
      <c r="O888" s="1748"/>
      <c r="P888" s="6"/>
      <c r="Q888" s="6"/>
      <c r="R888" s="6"/>
      <c r="S888" s="6"/>
    </row>
    <row r="889" spans="1:19" x14ac:dyDescent="0.2">
      <c r="A889" s="1749"/>
      <c r="B889" s="1749"/>
      <c r="C889" s="1748"/>
      <c r="D889" s="1748"/>
      <c r="E889" s="1748"/>
      <c r="F889" s="1748"/>
      <c r="G889" s="1748"/>
      <c r="H889" s="1748"/>
      <c r="I889" s="1748"/>
      <c r="J889" s="1748"/>
      <c r="K889" s="1748"/>
      <c r="L889" s="1748"/>
      <c r="M889" s="1748"/>
      <c r="N889" s="1748"/>
      <c r="O889" s="1748"/>
      <c r="P889" s="6"/>
      <c r="Q889" s="6"/>
      <c r="R889" s="6"/>
      <c r="S889" s="6"/>
    </row>
    <row r="890" spans="1:19" x14ac:dyDescent="0.2">
      <c r="A890" s="1749"/>
      <c r="B890" s="1749"/>
      <c r="C890" s="1748"/>
      <c r="D890" s="1748"/>
      <c r="E890" s="1748"/>
      <c r="F890" s="1748"/>
      <c r="G890" s="1748"/>
      <c r="H890" s="1748"/>
      <c r="I890" s="1748"/>
      <c r="J890" s="1748"/>
      <c r="K890" s="1748"/>
      <c r="L890" s="1748"/>
      <c r="M890" s="1748"/>
      <c r="N890" s="1748"/>
      <c r="O890" s="1748"/>
      <c r="P890" s="6"/>
      <c r="Q890" s="6"/>
      <c r="R890" s="6"/>
      <c r="S890" s="6"/>
    </row>
    <row r="891" spans="1:19" x14ac:dyDescent="0.2">
      <c r="A891" s="1749"/>
      <c r="B891" s="1749"/>
      <c r="C891" s="1748"/>
      <c r="D891" s="1748"/>
      <c r="E891" s="1748"/>
      <c r="F891" s="1748"/>
      <c r="G891" s="1748"/>
      <c r="H891" s="1748"/>
      <c r="I891" s="1748"/>
      <c r="J891" s="1748"/>
      <c r="K891" s="1748"/>
      <c r="L891" s="1748"/>
      <c r="M891" s="1748"/>
      <c r="N891" s="1748"/>
      <c r="O891" s="1748"/>
      <c r="P891" s="6"/>
      <c r="Q891" s="6"/>
      <c r="R891" s="6"/>
      <c r="S891" s="6"/>
    </row>
    <row r="892" spans="1:19" x14ac:dyDescent="0.2">
      <c r="A892" s="1749"/>
      <c r="B892" s="1749"/>
      <c r="C892" s="1748"/>
      <c r="D892" s="1748"/>
      <c r="E892" s="1748"/>
      <c r="F892" s="1748"/>
      <c r="G892" s="1748"/>
      <c r="H892" s="1748"/>
      <c r="I892" s="1748"/>
      <c r="J892" s="1748"/>
      <c r="K892" s="1748"/>
      <c r="L892" s="1748"/>
      <c r="M892" s="1748"/>
      <c r="N892" s="1748"/>
      <c r="O892" s="1748"/>
      <c r="P892" s="6"/>
      <c r="Q892" s="6"/>
      <c r="R892" s="6"/>
      <c r="S892" s="6"/>
    </row>
    <row r="893" spans="1:19" x14ac:dyDescent="0.2">
      <c r="A893" s="1749"/>
      <c r="B893" s="1749"/>
      <c r="C893" s="1748"/>
      <c r="D893" s="1748"/>
      <c r="E893" s="1748"/>
      <c r="F893" s="1748"/>
      <c r="G893" s="1748"/>
      <c r="H893" s="1748"/>
      <c r="I893" s="1748"/>
      <c r="J893" s="1748"/>
      <c r="K893" s="1748"/>
      <c r="L893" s="1748"/>
      <c r="M893" s="1748"/>
      <c r="N893" s="1748"/>
      <c r="O893" s="1748"/>
      <c r="P893" s="6"/>
      <c r="Q893" s="6"/>
      <c r="R893" s="6"/>
      <c r="S893" s="6"/>
    </row>
    <row r="894" spans="1:19" x14ac:dyDescent="0.2">
      <c r="A894" s="1749"/>
      <c r="B894" s="1749"/>
      <c r="C894" s="1748"/>
      <c r="D894" s="1748"/>
      <c r="E894" s="1748"/>
      <c r="F894" s="1748"/>
      <c r="G894" s="1748"/>
      <c r="H894" s="1748"/>
      <c r="I894" s="1748"/>
      <c r="J894" s="1748"/>
      <c r="K894" s="1748"/>
      <c r="L894" s="1748"/>
      <c r="M894" s="1748"/>
      <c r="N894" s="1748"/>
      <c r="O894" s="1748"/>
      <c r="P894" s="6"/>
      <c r="Q894" s="6"/>
      <c r="R894" s="6"/>
      <c r="S894" s="6"/>
    </row>
    <row r="895" spans="1:19" x14ac:dyDescent="0.2">
      <c r="A895" s="1749"/>
      <c r="B895" s="1749"/>
      <c r="C895" s="1748"/>
      <c r="D895" s="1748"/>
      <c r="E895" s="1748"/>
      <c r="F895" s="1748"/>
      <c r="G895" s="1748"/>
      <c r="H895" s="1748"/>
      <c r="I895" s="1748"/>
      <c r="J895" s="1748"/>
      <c r="K895" s="1748"/>
      <c r="L895" s="1748"/>
      <c r="M895" s="1748"/>
      <c r="N895" s="1748"/>
      <c r="O895" s="1748"/>
      <c r="P895" s="6"/>
      <c r="Q895" s="6"/>
      <c r="R895" s="6"/>
      <c r="S895" s="6"/>
    </row>
    <row r="896" spans="1:19" x14ac:dyDescent="0.2">
      <c r="A896" s="1749"/>
      <c r="B896" s="1749"/>
      <c r="C896" s="1748"/>
      <c r="D896" s="1748"/>
      <c r="E896" s="1748"/>
      <c r="F896" s="1748"/>
      <c r="G896" s="1748"/>
      <c r="H896" s="1748"/>
      <c r="I896" s="1748"/>
      <c r="J896" s="1748"/>
      <c r="K896" s="1748"/>
      <c r="L896" s="1748"/>
      <c r="M896" s="1748"/>
      <c r="N896" s="1748"/>
      <c r="O896" s="1748"/>
      <c r="P896" s="6"/>
      <c r="Q896" s="6"/>
      <c r="R896" s="6"/>
      <c r="S896" s="6"/>
    </row>
    <row r="897" spans="1:19" x14ac:dyDescent="0.2">
      <c r="A897" s="1749"/>
      <c r="B897" s="1749"/>
      <c r="C897" s="1748"/>
      <c r="D897" s="1748"/>
      <c r="E897" s="1748"/>
      <c r="F897" s="1748"/>
      <c r="G897" s="1748"/>
      <c r="H897" s="1748"/>
      <c r="I897" s="1748"/>
      <c r="J897" s="1748"/>
      <c r="K897" s="1748"/>
      <c r="L897" s="1748"/>
      <c r="M897" s="1748"/>
      <c r="N897" s="1748"/>
      <c r="O897" s="1748"/>
      <c r="P897" s="6"/>
      <c r="Q897" s="6"/>
      <c r="R897" s="6"/>
      <c r="S897" s="6"/>
    </row>
    <row r="898" spans="1:19" x14ac:dyDescent="0.2">
      <c r="A898" s="1749"/>
      <c r="B898" s="1749"/>
      <c r="C898" s="1748"/>
      <c r="D898" s="1748"/>
      <c r="E898" s="1748"/>
      <c r="F898" s="1748"/>
      <c r="G898" s="1748"/>
      <c r="H898" s="1748"/>
      <c r="I898" s="1748"/>
      <c r="J898" s="1748"/>
      <c r="K898" s="1748"/>
      <c r="L898" s="1748"/>
      <c r="M898" s="1748"/>
      <c r="N898" s="1748"/>
      <c r="O898" s="1748"/>
      <c r="P898" s="6"/>
      <c r="Q898" s="6"/>
      <c r="R898" s="6"/>
      <c r="S898" s="6"/>
    </row>
    <row r="899" spans="1:19" x14ac:dyDescent="0.2">
      <c r="A899" s="1749"/>
      <c r="B899" s="1749"/>
      <c r="C899" s="1748"/>
      <c r="D899" s="1748"/>
      <c r="E899" s="1748"/>
      <c r="F899" s="1748"/>
      <c r="G899" s="1748"/>
      <c r="H899" s="1748"/>
      <c r="I899" s="1748"/>
      <c r="J899" s="1748"/>
      <c r="K899" s="1748"/>
      <c r="L899" s="1748"/>
      <c r="M899" s="1748"/>
      <c r="N899" s="1748"/>
      <c r="O899" s="1748"/>
      <c r="P899" s="6"/>
      <c r="Q899" s="6"/>
      <c r="R899" s="6"/>
      <c r="S899" s="6"/>
    </row>
    <row r="900" spans="1:19" x14ac:dyDescent="0.2">
      <c r="A900" s="1749"/>
      <c r="B900" s="1749"/>
      <c r="C900" s="1748"/>
      <c r="D900" s="1748"/>
      <c r="E900" s="1748"/>
      <c r="F900" s="1748"/>
      <c r="G900" s="1748"/>
      <c r="H900" s="1748"/>
      <c r="I900" s="1748"/>
      <c r="J900" s="1748"/>
      <c r="K900" s="1748"/>
      <c r="L900" s="1748"/>
      <c r="M900" s="1748"/>
      <c r="N900" s="1748"/>
      <c r="O900" s="1748"/>
      <c r="P900" s="6"/>
      <c r="Q900" s="6"/>
      <c r="R900" s="6"/>
      <c r="S900" s="6"/>
    </row>
    <row r="901" spans="1:19" x14ac:dyDescent="0.2">
      <c r="A901" s="1749"/>
      <c r="B901" s="1749"/>
      <c r="C901" s="1748"/>
      <c r="D901" s="1748"/>
      <c r="E901" s="1748"/>
      <c r="F901" s="1748"/>
      <c r="G901" s="1748"/>
      <c r="H901" s="1748"/>
      <c r="I901" s="1748"/>
      <c r="J901" s="1748"/>
      <c r="K901" s="1748"/>
      <c r="L901" s="1748"/>
      <c r="M901" s="1748"/>
      <c r="N901" s="1748"/>
      <c r="O901" s="1748"/>
      <c r="P901" s="6"/>
      <c r="Q901" s="6"/>
      <c r="R901" s="6"/>
      <c r="S901" s="6"/>
    </row>
    <row r="902" spans="1:19" x14ac:dyDescent="0.2">
      <c r="A902" s="1749"/>
      <c r="B902" s="1749"/>
      <c r="C902" s="1748"/>
      <c r="D902" s="1748"/>
      <c r="E902" s="1748"/>
      <c r="F902" s="1748"/>
      <c r="G902" s="1748"/>
      <c r="H902" s="1748"/>
      <c r="I902" s="1748"/>
      <c r="J902" s="1748"/>
      <c r="K902" s="1748"/>
      <c r="L902" s="1748"/>
      <c r="M902" s="1748"/>
      <c r="N902" s="1748"/>
      <c r="O902" s="1748"/>
      <c r="P902" s="6"/>
      <c r="Q902" s="6"/>
      <c r="R902" s="6"/>
      <c r="S902" s="6"/>
    </row>
    <row r="903" spans="1:19" x14ac:dyDescent="0.2">
      <c r="A903" s="1749"/>
      <c r="B903" s="1749"/>
      <c r="C903" s="1748"/>
      <c r="D903" s="1748"/>
      <c r="E903" s="1748"/>
      <c r="F903" s="1748"/>
      <c r="G903" s="1748"/>
      <c r="H903" s="1748"/>
      <c r="I903" s="1748"/>
      <c r="J903" s="1748"/>
      <c r="K903" s="1748"/>
      <c r="L903" s="1748"/>
      <c r="M903" s="1748"/>
      <c r="N903" s="1748"/>
      <c r="O903" s="1748"/>
      <c r="P903" s="6"/>
      <c r="Q903" s="6"/>
      <c r="R903" s="6"/>
      <c r="S903" s="6"/>
    </row>
    <row r="904" spans="1:19" x14ac:dyDescent="0.2">
      <c r="A904" s="1749"/>
      <c r="B904" s="1749"/>
      <c r="C904" s="1748"/>
      <c r="D904" s="1748"/>
      <c r="E904" s="1748"/>
      <c r="F904" s="1748"/>
      <c r="G904" s="1748"/>
      <c r="H904" s="1748"/>
      <c r="I904" s="1748"/>
      <c r="J904" s="1748"/>
      <c r="K904" s="1748"/>
      <c r="L904" s="1748"/>
      <c r="M904" s="1748"/>
      <c r="N904" s="1748"/>
      <c r="O904" s="1748"/>
      <c r="P904" s="6"/>
      <c r="Q904" s="6"/>
      <c r="R904" s="6"/>
      <c r="S904" s="6"/>
    </row>
    <row r="905" spans="1:19" x14ac:dyDescent="0.2">
      <c r="A905" s="1749"/>
      <c r="B905" s="1749"/>
      <c r="C905" s="1748"/>
      <c r="D905" s="1748"/>
      <c r="E905" s="1748"/>
      <c r="F905" s="1748"/>
      <c r="G905" s="1748"/>
      <c r="H905" s="1748"/>
      <c r="I905" s="1748"/>
      <c r="J905" s="1748"/>
      <c r="K905" s="1748"/>
      <c r="L905" s="1748"/>
      <c r="M905" s="1748"/>
      <c r="N905" s="1748"/>
      <c r="O905" s="1748"/>
      <c r="P905" s="6"/>
      <c r="Q905" s="6"/>
      <c r="R905" s="6"/>
      <c r="S905" s="6"/>
    </row>
    <row r="906" spans="1:19" x14ac:dyDescent="0.2">
      <c r="A906" s="1749"/>
      <c r="B906" s="1749"/>
      <c r="C906" s="1748"/>
      <c r="D906" s="1748"/>
      <c r="E906" s="1748"/>
      <c r="F906" s="1748"/>
      <c r="G906" s="1748"/>
      <c r="H906" s="1748"/>
      <c r="I906" s="1748"/>
      <c r="J906" s="1748"/>
      <c r="K906" s="1748"/>
      <c r="L906" s="1748"/>
      <c r="M906" s="1748"/>
      <c r="N906" s="1748"/>
      <c r="O906" s="1748"/>
      <c r="P906" s="6"/>
      <c r="Q906" s="6"/>
      <c r="R906" s="6"/>
      <c r="S906" s="6"/>
    </row>
    <row r="907" spans="1:19" x14ac:dyDescent="0.2">
      <c r="A907" s="1749"/>
      <c r="B907" s="1749"/>
      <c r="C907" s="1748"/>
      <c r="D907" s="1748"/>
      <c r="E907" s="1748"/>
      <c r="F907" s="1748"/>
      <c r="G907" s="1748"/>
      <c r="H907" s="1748"/>
      <c r="I907" s="1748"/>
      <c r="J907" s="1748"/>
      <c r="K907" s="1748"/>
      <c r="L907" s="1748"/>
      <c r="M907" s="1748"/>
      <c r="N907" s="1748"/>
      <c r="O907" s="1748"/>
      <c r="P907" s="6"/>
      <c r="Q907" s="6"/>
      <c r="R907" s="6"/>
      <c r="S907" s="6"/>
    </row>
    <row r="908" spans="1:19" x14ac:dyDescent="0.2">
      <c r="A908" s="1749"/>
      <c r="B908" s="1749"/>
      <c r="C908" s="1748"/>
      <c r="D908" s="1748"/>
      <c r="E908" s="1748"/>
      <c r="F908" s="1748"/>
      <c r="G908" s="1748"/>
      <c r="H908" s="1748"/>
      <c r="I908" s="1748"/>
      <c r="J908" s="1748"/>
      <c r="K908" s="1748"/>
      <c r="L908" s="1748"/>
      <c r="M908" s="1748"/>
      <c r="N908" s="1748"/>
      <c r="O908" s="1748"/>
      <c r="P908" s="6"/>
      <c r="Q908" s="6"/>
      <c r="R908" s="6"/>
      <c r="S908" s="6"/>
    </row>
    <row r="909" spans="1:19" x14ac:dyDescent="0.2">
      <c r="A909" s="1749"/>
      <c r="B909" s="1749"/>
      <c r="C909" s="1748"/>
      <c r="D909" s="1748"/>
      <c r="E909" s="1748"/>
      <c r="F909" s="1748"/>
      <c r="G909" s="1748"/>
      <c r="H909" s="1748"/>
      <c r="I909" s="1748"/>
      <c r="J909" s="1748"/>
      <c r="K909" s="1748"/>
      <c r="L909" s="1748"/>
      <c r="M909" s="1748"/>
      <c r="N909" s="1748"/>
      <c r="O909" s="1748"/>
      <c r="P909" s="6"/>
      <c r="Q909" s="6"/>
      <c r="R909" s="6"/>
      <c r="S909" s="6"/>
    </row>
    <row r="910" spans="1:19" x14ac:dyDescent="0.2">
      <c r="A910" s="1749"/>
      <c r="B910" s="1749"/>
      <c r="C910" s="1748"/>
      <c r="D910" s="1748"/>
      <c r="E910" s="1748"/>
      <c r="F910" s="1748"/>
      <c r="G910" s="1748"/>
      <c r="H910" s="1748"/>
      <c r="I910" s="1748"/>
      <c r="J910" s="1748"/>
      <c r="K910" s="1748"/>
      <c r="L910" s="1748"/>
      <c r="M910" s="1748"/>
      <c r="N910" s="1748"/>
      <c r="O910" s="1748"/>
      <c r="P910" s="6"/>
      <c r="Q910" s="6"/>
      <c r="R910" s="6"/>
      <c r="S910" s="6"/>
    </row>
    <row r="911" spans="1:19" x14ac:dyDescent="0.2">
      <c r="A911" s="1749"/>
      <c r="B911" s="1749"/>
      <c r="C911" s="1748"/>
      <c r="D911" s="1748"/>
      <c r="E911" s="1748"/>
      <c r="F911" s="1748"/>
      <c r="G911" s="1748"/>
      <c r="H911" s="1748"/>
      <c r="I911" s="1748"/>
      <c r="J911" s="1748"/>
      <c r="K911" s="1748"/>
      <c r="L911" s="1748"/>
      <c r="M911" s="1748"/>
      <c r="N911" s="1748"/>
      <c r="O911" s="1748"/>
      <c r="P911" s="6"/>
      <c r="Q911" s="6"/>
      <c r="R911" s="6"/>
      <c r="S911" s="6"/>
    </row>
    <row r="912" spans="1:19" x14ac:dyDescent="0.2">
      <c r="A912" s="1749"/>
      <c r="B912" s="1749"/>
      <c r="C912" s="1748"/>
      <c r="D912" s="1748"/>
      <c r="E912" s="1748"/>
      <c r="F912" s="1748"/>
      <c r="G912" s="1748"/>
      <c r="H912" s="1748"/>
      <c r="I912" s="1748"/>
      <c r="J912" s="1748"/>
      <c r="K912" s="1748"/>
      <c r="L912" s="1748"/>
      <c r="M912" s="1748"/>
      <c r="N912" s="1748"/>
      <c r="O912" s="1748"/>
      <c r="P912" s="6"/>
      <c r="Q912" s="6"/>
      <c r="R912" s="6"/>
      <c r="S912" s="6"/>
    </row>
    <row r="913" spans="1:19" x14ac:dyDescent="0.2">
      <c r="A913" s="1749"/>
      <c r="B913" s="1749"/>
      <c r="C913" s="1748"/>
      <c r="D913" s="1748"/>
      <c r="E913" s="1748"/>
      <c r="F913" s="1748"/>
      <c r="G913" s="1748"/>
      <c r="H913" s="1748"/>
      <c r="I913" s="1748"/>
      <c r="J913" s="1748"/>
      <c r="K913" s="1748"/>
      <c r="L913" s="1748"/>
      <c r="M913" s="1748"/>
      <c r="N913" s="1748"/>
      <c r="O913" s="1748"/>
      <c r="P913" s="6"/>
      <c r="Q913" s="6"/>
      <c r="R913" s="6"/>
      <c r="S913" s="6"/>
    </row>
    <row r="914" spans="1:19" x14ac:dyDescent="0.2">
      <c r="A914" s="1749"/>
      <c r="B914" s="1749"/>
      <c r="C914" s="1748"/>
      <c r="D914" s="1748"/>
      <c r="E914" s="1748"/>
      <c r="F914" s="1748"/>
      <c r="G914" s="1748"/>
      <c r="H914" s="1748"/>
      <c r="I914" s="1748"/>
      <c r="J914" s="1748"/>
      <c r="K914" s="1748"/>
      <c r="L914" s="1748"/>
      <c r="M914" s="1748"/>
      <c r="N914" s="1748"/>
      <c r="O914" s="1748"/>
      <c r="P914" s="6"/>
      <c r="Q914" s="6"/>
      <c r="R914" s="6"/>
      <c r="S914" s="6"/>
    </row>
    <row r="915" spans="1:19" x14ac:dyDescent="0.2">
      <c r="A915" s="1749"/>
      <c r="B915" s="1749"/>
      <c r="C915" s="1748"/>
      <c r="D915" s="1748"/>
      <c r="E915" s="1748"/>
      <c r="F915" s="1748"/>
      <c r="G915" s="1748"/>
      <c r="H915" s="1748"/>
      <c r="I915" s="1748"/>
      <c r="J915" s="1748"/>
      <c r="K915" s="1748"/>
      <c r="L915" s="1748"/>
      <c r="M915" s="1748"/>
      <c r="N915" s="1748"/>
      <c r="O915" s="1748"/>
      <c r="P915" s="6"/>
      <c r="Q915" s="6"/>
      <c r="R915" s="6"/>
      <c r="S915" s="6"/>
    </row>
    <row r="916" spans="1:19" x14ac:dyDescent="0.2">
      <c r="A916" s="1749"/>
      <c r="B916" s="1749"/>
      <c r="C916" s="1748"/>
      <c r="D916" s="1748"/>
      <c r="E916" s="1748"/>
      <c r="F916" s="1748"/>
      <c r="G916" s="1748"/>
      <c r="H916" s="1748"/>
      <c r="I916" s="1748"/>
      <c r="J916" s="1748"/>
      <c r="K916" s="1748"/>
      <c r="L916" s="1748"/>
      <c r="M916" s="1748"/>
      <c r="N916" s="1748"/>
      <c r="O916" s="1748"/>
      <c r="P916" s="6"/>
      <c r="Q916" s="6"/>
      <c r="R916" s="6"/>
      <c r="S916" s="6"/>
    </row>
    <row r="917" spans="1:19" x14ac:dyDescent="0.2">
      <c r="A917" s="1749"/>
      <c r="B917" s="1749"/>
      <c r="C917" s="1748"/>
      <c r="D917" s="1748"/>
      <c r="E917" s="1748"/>
      <c r="F917" s="1748"/>
      <c r="G917" s="1748"/>
      <c r="H917" s="1748"/>
      <c r="I917" s="1748"/>
      <c r="J917" s="1748"/>
      <c r="K917" s="1748"/>
      <c r="L917" s="1748"/>
      <c r="M917" s="1748"/>
      <c r="N917" s="1748"/>
      <c r="O917" s="1748"/>
      <c r="P917" s="6"/>
      <c r="Q917" s="6"/>
      <c r="R917" s="6"/>
      <c r="S917" s="6"/>
    </row>
    <row r="918" spans="1:19" x14ac:dyDescent="0.2">
      <c r="A918" s="1749"/>
      <c r="B918" s="1749"/>
      <c r="C918" s="1748"/>
      <c r="D918" s="1748"/>
      <c r="E918" s="1748"/>
      <c r="F918" s="1748"/>
      <c r="G918" s="1748"/>
      <c r="H918" s="1748"/>
      <c r="I918" s="1748"/>
      <c r="J918" s="1748"/>
      <c r="K918" s="1748"/>
      <c r="L918" s="1748"/>
      <c r="M918" s="1748"/>
      <c r="N918" s="1748"/>
      <c r="O918" s="1748"/>
      <c r="P918" s="6"/>
      <c r="Q918" s="6"/>
      <c r="R918" s="6"/>
      <c r="S918" s="6"/>
    </row>
    <row r="919" spans="1:19" x14ac:dyDescent="0.2">
      <c r="A919" s="1749"/>
      <c r="B919" s="1749"/>
      <c r="C919" s="1748"/>
      <c r="D919" s="1748"/>
      <c r="E919" s="1748"/>
      <c r="F919" s="1748"/>
      <c r="G919" s="1748"/>
      <c r="H919" s="1748"/>
      <c r="I919" s="1748"/>
      <c r="J919" s="1748"/>
      <c r="K919" s="1748"/>
      <c r="L919" s="1748"/>
      <c r="M919" s="1748"/>
      <c r="N919" s="1748"/>
      <c r="O919" s="1748"/>
      <c r="P919" s="6"/>
      <c r="Q919" s="6"/>
      <c r="R919" s="6"/>
      <c r="S919" s="6"/>
    </row>
    <row r="920" spans="1:19" x14ac:dyDescent="0.2">
      <c r="A920" s="1749"/>
      <c r="B920" s="1749"/>
      <c r="C920" s="1748"/>
      <c r="D920" s="1748"/>
      <c r="E920" s="1748"/>
      <c r="F920" s="1748"/>
      <c r="G920" s="1748"/>
      <c r="H920" s="1748"/>
      <c r="I920" s="1748"/>
      <c r="J920" s="1748"/>
      <c r="K920" s="1748"/>
      <c r="L920" s="1748"/>
      <c r="M920" s="1748"/>
      <c r="N920" s="1748"/>
      <c r="O920" s="1748"/>
      <c r="P920" s="6"/>
      <c r="Q920" s="6"/>
      <c r="R920" s="6"/>
      <c r="S920" s="6"/>
    </row>
    <row r="921" spans="1:19" x14ac:dyDescent="0.2">
      <c r="A921" s="1749"/>
      <c r="B921" s="1749"/>
      <c r="C921" s="1748"/>
      <c r="D921" s="1748"/>
      <c r="E921" s="1748"/>
      <c r="F921" s="1748"/>
      <c r="G921" s="1748"/>
      <c r="H921" s="1748"/>
      <c r="I921" s="1748"/>
      <c r="J921" s="1748"/>
      <c r="K921" s="1748"/>
      <c r="L921" s="1748"/>
      <c r="M921" s="1748"/>
      <c r="N921" s="1748"/>
      <c r="O921" s="1748"/>
      <c r="P921" s="6"/>
      <c r="Q921" s="6"/>
      <c r="R921" s="6"/>
      <c r="S921" s="6"/>
    </row>
    <row r="922" spans="1:19" x14ac:dyDescent="0.2">
      <c r="A922" s="1749"/>
      <c r="B922" s="1749"/>
      <c r="C922" s="1748"/>
      <c r="D922" s="1748"/>
      <c r="E922" s="1748"/>
      <c r="F922" s="1748"/>
      <c r="G922" s="1748"/>
      <c r="H922" s="1748"/>
      <c r="I922" s="1748"/>
      <c r="J922" s="1748"/>
      <c r="K922" s="1748"/>
      <c r="L922" s="1748"/>
      <c r="M922" s="1748"/>
      <c r="N922" s="1748"/>
      <c r="O922" s="1748"/>
      <c r="P922" s="6"/>
      <c r="Q922" s="6"/>
      <c r="R922" s="6"/>
      <c r="S922" s="6"/>
    </row>
    <row r="923" spans="1:19" x14ac:dyDescent="0.2">
      <c r="A923" s="1749"/>
      <c r="B923" s="1749"/>
      <c r="C923" s="1748"/>
      <c r="D923" s="1748"/>
      <c r="E923" s="1748"/>
      <c r="F923" s="1748"/>
      <c r="G923" s="1748"/>
      <c r="H923" s="1748"/>
      <c r="I923" s="1748"/>
      <c r="J923" s="1748"/>
      <c r="K923" s="1748"/>
      <c r="L923" s="1748"/>
      <c r="M923" s="1748"/>
      <c r="N923" s="1748"/>
      <c r="O923" s="1748"/>
      <c r="P923" s="6"/>
      <c r="Q923" s="6"/>
      <c r="R923" s="6"/>
      <c r="S923" s="6"/>
    </row>
    <row r="924" spans="1:19" x14ac:dyDescent="0.2">
      <c r="A924" s="1749"/>
      <c r="B924" s="1749"/>
      <c r="C924" s="1748"/>
      <c r="D924" s="1748"/>
      <c r="E924" s="1748"/>
      <c r="F924" s="1748"/>
      <c r="G924" s="1748"/>
      <c r="H924" s="1748"/>
      <c r="I924" s="1748"/>
      <c r="J924" s="1748"/>
      <c r="K924" s="1748"/>
      <c r="L924" s="1748"/>
      <c r="M924" s="1748"/>
      <c r="N924" s="1748"/>
      <c r="O924" s="1748"/>
      <c r="P924" s="6"/>
      <c r="Q924" s="6"/>
      <c r="R924" s="6"/>
      <c r="S924" s="6"/>
    </row>
    <row r="925" spans="1:19" x14ac:dyDescent="0.2">
      <c r="A925" s="1749"/>
      <c r="B925" s="1749"/>
      <c r="C925" s="1748"/>
      <c r="D925" s="1748"/>
      <c r="E925" s="1748"/>
      <c r="F925" s="1748"/>
      <c r="G925" s="1748"/>
      <c r="H925" s="1748"/>
      <c r="I925" s="1748"/>
      <c r="J925" s="1748"/>
      <c r="K925" s="1748"/>
      <c r="L925" s="1748"/>
      <c r="M925" s="1748"/>
      <c r="N925" s="1748"/>
      <c r="O925" s="1748"/>
      <c r="P925" s="6"/>
      <c r="Q925" s="6"/>
      <c r="R925" s="6"/>
      <c r="S925" s="6"/>
    </row>
    <row r="926" spans="1:19" x14ac:dyDescent="0.2">
      <c r="A926" s="1749"/>
      <c r="B926" s="1749"/>
      <c r="C926" s="1748"/>
      <c r="D926" s="1748"/>
      <c r="E926" s="1748"/>
      <c r="F926" s="1748"/>
      <c r="G926" s="1748"/>
      <c r="H926" s="1748"/>
      <c r="I926" s="1748"/>
      <c r="J926" s="1748"/>
      <c r="K926" s="1748"/>
      <c r="L926" s="1748"/>
      <c r="M926" s="1748"/>
      <c r="N926" s="1748"/>
      <c r="O926" s="1748"/>
      <c r="P926" s="6"/>
      <c r="Q926" s="6"/>
      <c r="R926" s="6"/>
      <c r="S926" s="6"/>
    </row>
    <row r="927" spans="1:19" x14ac:dyDescent="0.2">
      <c r="A927" s="1749"/>
      <c r="B927" s="1749"/>
      <c r="C927" s="1748"/>
      <c r="D927" s="1748"/>
      <c r="E927" s="1748"/>
      <c r="F927" s="1748"/>
      <c r="G927" s="1748"/>
      <c r="H927" s="1748"/>
      <c r="I927" s="1748"/>
      <c r="J927" s="1748"/>
      <c r="K927" s="1748"/>
      <c r="L927" s="1748"/>
      <c r="M927" s="1748"/>
      <c r="N927" s="1748"/>
      <c r="O927" s="1748"/>
      <c r="P927" s="6"/>
      <c r="Q927" s="6"/>
      <c r="R927" s="6"/>
      <c r="S927" s="6"/>
    </row>
    <row r="928" spans="1:19" x14ac:dyDescent="0.2">
      <c r="A928" s="1749"/>
      <c r="B928" s="1749"/>
      <c r="C928" s="1748"/>
      <c r="D928" s="1748"/>
      <c r="E928" s="1748"/>
      <c r="F928" s="1748"/>
      <c r="G928" s="1748"/>
      <c r="H928" s="1748"/>
      <c r="I928" s="1748"/>
      <c r="J928" s="1748"/>
      <c r="K928" s="1748"/>
      <c r="L928" s="1748"/>
      <c r="M928" s="1748"/>
      <c r="N928" s="1748"/>
      <c r="O928" s="1748"/>
      <c r="P928" s="6"/>
      <c r="Q928" s="6"/>
      <c r="R928" s="6"/>
      <c r="S928" s="6"/>
    </row>
    <row r="929" spans="1:19" x14ac:dyDescent="0.2">
      <c r="A929" s="1749"/>
      <c r="B929" s="1749"/>
      <c r="C929" s="1748"/>
      <c r="D929" s="1748"/>
      <c r="E929" s="1748"/>
      <c r="F929" s="1748"/>
      <c r="G929" s="1748"/>
      <c r="H929" s="1748"/>
      <c r="I929" s="1748"/>
      <c r="J929" s="1748"/>
      <c r="K929" s="1748"/>
      <c r="L929" s="1748"/>
      <c r="M929" s="1748"/>
      <c r="N929" s="1748"/>
      <c r="O929" s="1748"/>
      <c r="P929" s="6"/>
      <c r="Q929" s="6"/>
      <c r="R929" s="6"/>
      <c r="S929" s="6"/>
    </row>
    <row r="930" spans="1:19" x14ac:dyDescent="0.2">
      <c r="A930" s="1749"/>
      <c r="B930" s="1749"/>
      <c r="C930" s="1748"/>
      <c r="D930" s="1748"/>
      <c r="E930" s="1748"/>
      <c r="F930" s="1748"/>
      <c r="G930" s="1748"/>
      <c r="H930" s="1748"/>
      <c r="I930" s="1748"/>
      <c r="J930" s="1748"/>
      <c r="K930" s="1748"/>
      <c r="L930" s="1748"/>
      <c r="M930" s="1748"/>
      <c r="N930" s="1748"/>
      <c r="O930" s="1748"/>
      <c r="P930" s="6"/>
      <c r="Q930" s="6"/>
      <c r="R930" s="6"/>
      <c r="S930" s="6"/>
    </row>
    <row r="931" spans="1:19" x14ac:dyDescent="0.2">
      <c r="A931" s="1749"/>
      <c r="B931" s="1749"/>
      <c r="C931" s="1748"/>
      <c r="D931" s="1748"/>
      <c r="E931" s="1748"/>
      <c r="F931" s="1748"/>
      <c r="G931" s="1748"/>
      <c r="H931" s="1748"/>
      <c r="I931" s="1748"/>
      <c r="J931" s="1748"/>
      <c r="K931" s="1748"/>
      <c r="L931" s="1748"/>
      <c r="M931" s="1748"/>
      <c r="N931" s="1748"/>
      <c r="O931" s="1748"/>
      <c r="P931" s="6"/>
      <c r="Q931" s="6"/>
      <c r="R931" s="6"/>
      <c r="S931" s="6"/>
    </row>
    <row r="932" spans="1:19" x14ac:dyDescent="0.2">
      <c r="A932" s="1749"/>
      <c r="B932" s="1749"/>
      <c r="C932" s="1748"/>
      <c r="D932" s="1748"/>
      <c r="E932" s="1748"/>
      <c r="F932" s="1748"/>
      <c r="G932" s="1748"/>
      <c r="H932" s="1748"/>
      <c r="I932" s="1748"/>
      <c r="J932" s="1748"/>
      <c r="K932" s="1748"/>
      <c r="L932" s="1748"/>
      <c r="M932" s="1748"/>
      <c r="N932" s="1748"/>
      <c r="O932" s="1748"/>
      <c r="P932" s="6"/>
      <c r="Q932" s="6"/>
      <c r="R932" s="6"/>
      <c r="S932" s="6"/>
    </row>
    <row r="933" spans="1:19" x14ac:dyDescent="0.2">
      <c r="A933" s="1749"/>
      <c r="B933" s="1749"/>
      <c r="C933" s="1748"/>
      <c r="D933" s="1748"/>
      <c r="E933" s="1748"/>
      <c r="F933" s="1748"/>
      <c r="G933" s="1748"/>
      <c r="H933" s="1748"/>
      <c r="I933" s="1748"/>
      <c r="J933" s="1748"/>
      <c r="K933" s="1748"/>
      <c r="L933" s="1748"/>
      <c r="M933" s="1748"/>
      <c r="N933" s="1748"/>
      <c r="O933" s="1748"/>
      <c r="P933" s="6"/>
      <c r="Q933" s="6"/>
      <c r="R933" s="6"/>
      <c r="S933" s="6"/>
    </row>
    <row r="934" spans="1:19" x14ac:dyDescent="0.2">
      <c r="A934" s="1749"/>
      <c r="B934" s="1749"/>
      <c r="C934" s="1748"/>
      <c r="D934" s="1748"/>
      <c r="E934" s="1748"/>
      <c r="F934" s="1748"/>
      <c r="G934" s="1748"/>
      <c r="H934" s="1748"/>
      <c r="I934" s="1748"/>
      <c r="J934" s="1748"/>
      <c r="K934" s="1748"/>
      <c r="L934" s="1748"/>
      <c r="M934" s="1748"/>
      <c r="N934" s="1748"/>
      <c r="O934" s="1748"/>
      <c r="P934" s="6"/>
      <c r="Q934" s="6"/>
      <c r="R934" s="6"/>
      <c r="S934" s="6"/>
    </row>
    <row r="935" spans="1:19" x14ac:dyDescent="0.2">
      <c r="A935" s="1749"/>
      <c r="B935" s="1749"/>
      <c r="C935" s="1748"/>
      <c r="D935" s="1748"/>
      <c r="E935" s="1748"/>
      <c r="F935" s="1748"/>
      <c r="G935" s="1748"/>
      <c r="H935" s="1748"/>
      <c r="I935" s="1748"/>
      <c r="J935" s="1748"/>
      <c r="K935" s="1748"/>
      <c r="L935" s="1748"/>
      <c r="M935" s="1748"/>
      <c r="N935" s="1748"/>
      <c r="O935" s="1748"/>
      <c r="P935" s="6"/>
      <c r="Q935" s="6"/>
      <c r="R935" s="6"/>
      <c r="S935" s="6"/>
    </row>
    <row r="936" spans="1:19" x14ac:dyDescent="0.2">
      <c r="A936" s="1749"/>
      <c r="B936" s="1749"/>
      <c r="C936" s="1748"/>
      <c r="D936" s="1748"/>
      <c r="E936" s="1748"/>
      <c r="F936" s="1748"/>
      <c r="G936" s="1748"/>
      <c r="H936" s="1748"/>
      <c r="I936" s="1748"/>
      <c r="J936" s="1748"/>
      <c r="K936" s="1748"/>
      <c r="L936" s="1748"/>
      <c r="M936" s="1748"/>
      <c r="N936" s="1748"/>
      <c r="O936" s="1748"/>
      <c r="P936" s="6"/>
      <c r="Q936" s="6"/>
      <c r="R936" s="6"/>
      <c r="S936" s="6"/>
    </row>
    <row r="937" spans="1:19" x14ac:dyDescent="0.2">
      <c r="A937" s="1749"/>
      <c r="B937" s="1749"/>
      <c r="C937" s="1748"/>
      <c r="D937" s="1748"/>
      <c r="E937" s="1748"/>
      <c r="F937" s="1748"/>
      <c r="G937" s="1748"/>
      <c r="H937" s="1748"/>
      <c r="I937" s="1748"/>
      <c r="J937" s="1748"/>
      <c r="K937" s="1748"/>
      <c r="L937" s="1748"/>
      <c r="M937" s="1748"/>
      <c r="N937" s="1748"/>
      <c r="O937" s="1748"/>
      <c r="P937" s="6"/>
      <c r="Q937" s="6"/>
      <c r="R937" s="6"/>
      <c r="S937" s="6"/>
    </row>
    <row r="938" spans="1:19" x14ac:dyDescent="0.2">
      <c r="A938" s="1749"/>
      <c r="B938" s="1749"/>
      <c r="C938" s="1748"/>
      <c r="D938" s="1748"/>
      <c r="E938" s="1748"/>
      <c r="F938" s="1748"/>
      <c r="G938" s="1748"/>
      <c r="H938" s="1748"/>
      <c r="I938" s="1748"/>
      <c r="J938" s="1748"/>
      <c r="K938" s="1748"/>
      <c r="L938" s="1748"/>
      <c r="M938" s="1748"/>
      <c r="N938" s="1748"/>
      <c r="O938" s="1748"/>
      <c r="P938" s="6"/>
      <c r="Q938" s="6"/>
      <c r="R938" s="6"/>
      <c r="S938" s="6"/>
    </row>
    <row r="939" spans="1:19" x14ac:dyDescent="0.2">
      <c r="A939" s="1749"/>
      <c r="B939" s="1749"/>
      <c r="C939" s="1748"/>
      <c r="D939" s="1748"/>
      <c r="E939" s="1748"/>
      <c r="F939" s="1748"/>
      <c r="G939" s="1748"/>
      <c r="H939" s="1748"/>
      <c r="I939" s="1748"/>
      <c r="J939" s="1748"/>
      <c r="K939" s="1748"/>
      <c r="L939" s="1748"/>
      <c r="M939" s="1748"/>
      <c r="N939" s="1748"/>
      <c r="O939" s="1748"/>
      <c r="P939" s="6"/>
      <c r="Q939" s="6"/>
      <c r="R939" s="6"/>
      <c r="S939" s="6"/>
    </row>
    <row r="940" spans="1:19" x14ac:dyDescent="0.2">
      <c r="A940" s="1749"/>
      <c r="B940" s="1749"/>
      <c r="C940" s="1748"/>
      <c r="D940" s="1748"/>
      <c r="E940" s="1748"/>
      <c r="F940" s="1748"/>
      <c r="G940" s="1748"/>
      <c r="H940" s="1748"/>
      <c r="I940" s="1748"/>
      <c r="J940" s="1748"/>
      <c r="K940" s="1748"/>
      <c r="L940" s="1748"/>
      <c r="M940" s="1748"/>
      <c r="N940" s="1748"/>
      <c r="O940" s="1748"/>
      <c r="P940" s="6"/>
      <c r="Q940" s="6"/>
      <c r="R940" s="6"/>
      <c r="S940" s="6"/>
    </row>
    <row r="941" spans="1:19" x14ac:dyDescent="0.2">
      <c r="A941" s="1749"/>
      <c r="B941" s="1749"/>
      <c r="C941" s="1748"/>
      <c r="D941" s="1748"/>
      <c r="E941" s="1748"/>
      <c r="F941" s="1748"/>
      <c r="G941" s="1748"/>
      <c r="H941" s="1748"/>
      <c r="I941" s="1748"/>
      <c r="J941" s="1748"/>
      <c r="K941" s="1748"/>
      <c r="L941" s="1748"/>
      <c r="M941" s="1748"/>
      <c r="N941" s="1748"/>
      <c r="O941" s="1748"/>
      <c r="P941" s="6"/>
      <c r="Q941" s="6"/>
      <c r="R941" s="6"/>
      <c r="S941" s="6"/>
    </row>
    <row r="942" spans="1:19" x14ac:dyDescent="0.2">
      <c r="A942" s="1749"/>
      <c r="B942" s="1749"/>
      <c r="C942" s="1748"/>
      <c r="D942" s="1748"/>
      <c r="E942" s="1748"/>
      <c r="F942" s="1748"/>
      <c r="G942" s="1748"/>
      <c r="H942" s="1748"/>
      <c r="I942" s="1748"/>
      <c r="J942" s="1748"/>
      <c r="K942" s="1748"/>
      <c r="L942" s="1748"/>
      <c r="M942" s="1748"/>
      <c r="N942" s="1748"/>
      <c r="O942" s="1748"/>
      <c r="P942" s="6"/>
      <c r="Q942" s="6"/>
      <c r="R942" s="6"/>
      <c r="S942" s="6"/>
    </row>
    <row r="943" spans="1:19" x14ac:dyDescent="0.2">
      <c r="A943" s="1749"/>
      <c r="B943" s="1749"/>
      <c r="C943" s="1748"/>
      <c r="D943" s="1748"/>
      <c r="E943" s="1748"/>
      <c r="F943" s="1748"/>
      <c r="G943" s="1748"/>
      <c r="H943" s="1748"/>
      <c r="I943" s="1748"/>
      <c r="J943" s="1748"/>
      <c r="K943" s="1748"/>
      <c r="L943" s="1748"/>
      <c r="M943" s="1748"/>
      <c r="N943" s="1748"/>
      <c r="O943" s="1748"/>
      <c r="P943" s="6"/>
      <c r="Q943" s="6"/>
      <c r="R943" s="6"/>
      <c r="S943" s="6"/>
    </row>
    <row r="944" spans="1:19" x14ac:dyDescent="0.2">
      <c r="A944" s="1749"/>
      <c r="B944" s="1749"/>
      <c r="C944" s="1748"/>
      <c r="D944" s="1748"/>
      <c r="E944" s="1748"/>
      <c r="F944" s="1748"/>
      <c r="G944" s="1748"/>
      <c r="H944" s="1748"/>
      <c r="I944" s="1748"/>
      <c r="J944" s="1748"/>
      <c r="K944" s="1748"/>
      <c r="L944" s="1748"/>
      <c r="M944" s="1748"/>
      <c r="N944" s="1748"/>
      <c r="O944" s="1748"/>
      <c r="P944" s="6"/>
      <c r="Q944" s="6"/>
      <c r="R944" s="6"/>
      <c r="S944" s="6"/>
    </row>
    <row r="945" spans="1:19" x14ac:dyDescent="0.2">
      <c r="A945" s="1749"/>
      <c r="B945" s="1749"/>
      <c r="C945" s="1748"/>
      <c r="D945" s="1748"/>
      <c r="E945" s="1748"/>
      <c r="F945" s="1748"/>
      <c r="G945" s="1748"/>
      <c r="H945" s="1748"/>
      <c r="I945" s="1748"/>
      <c r="J945" s="1748"/>
      <c r="K945" s="1748"/>
      <c r="L945" s="1748"/>
      <c r="M945" s="1748"/>
      <c r="N945" s="1748"/>
      <c r="O945" s="1748"/>
      <c r="P945" s="6"/>
      <c r="Q945" s="6"/>
      <c r="R945" s="6"/>
      <c r="S945" s="6"/>
    </row>
    <row r="946" spans="1:19" x14ac:dyDescent="0.2">
      <c r="A946" s="1749"/>
      <c r="B946" s="1749"/>
      <c r="C946" s="1748"/>
      <c r="D946" s="1748"/>
      <c r="E946" s="1748"/>
      <c r="F946" s="1748"/>
      <c r="G946" s="1748"/>
      <c r="H946" s="1748"/>
      <c r="I946" s="1748"/>
      <c r="J946" s="1748"/>
      <c r="K946" s="1748"/>
      <c r="L946" s="1748"/>
      <c r="M946" s="1748"/>
      <c r="N946" s="1748"/>
      <c r="O946" s="1748"/>
      <c r="P946" s="6"/>
      <c r="Q946" s="6"/>
      <c r="R946" s="6"/>
      <c r="S946" s="6"/>
    </row>
    <row r="947" spans="1:19" x14ac:dyDescent="0.2">
      <c r="A947" s="1749"/>
      <c r="B947" s="1749"/>
      <c r="C947" s="1748"/>
      <c r="D947" s="1748"/>
      <c r="E947" s="1748"/>
      <c r="F947" s="1748"/>
      <c r="G947" s="1748"/>
      <c r="H947" s="1748"/>
      <c r="I947" s="1748"/>
      <c r="J947" s="1748"/>
      <c r="K947" s="1748"/>
      <c r="L947" s="1748"/>
      <c r="M947" s="1748"/>
      <c r="N947" s="1748"/>
      <c r="O947" s="1748"/>
      <c r="P947" s="6"/>
      <c r="Q947" s="6"/>
      <c r="R947" s="6"/>
      <c r="S947" s="6"/>
    </row>
    <row r="948" spans="1:19" x14ac:dyDescent="0.2">
      <c r="A948" s="1749"/>
      <c r="B948" s="1749"/>
      <c r="C948" s="1748"/>
      <c r="D948" s="1748"/>
      <c r="E948" s="1748"/>
      <c r="F948" s="1748"/>
      <c r="G948" s="1748"/>
      <c r="H948" s="1748"/>
      <c r="I948" s="1748"/>
      <c r="J948" s="1748"/>
      <c r="K948" s="1748"/>
      <c r="L948" s="1748"/>
      <c r="M948" s="1748"/>
      <c r="N948" s="1748"/>
      <c r="O948" s="1748"/>
      <c r="P948" s="6"/>
      <c r="Q948" s="6"/>
      <c r="R948" s="6"/>
      <c r="S948" s="6"/>
    </row>
    <row r="949" spans="1:19" x14ac:dyDescent="0.2">
      <c r="A949" s="1749"/>
      <c r="B949" s="1749"/>
      <c r="C949" s="1748"/>
      <c r="D949" s="1748"/>
      <c r="E949" s="1748"/>
      <c r="F949" s="1748"/>
      <c r="G949" s="1748"/>
      <c r="H949" s="1748"/>
      <c r="I949" s="1748"/>
      <c r="J949" s="1748"/>
      <c r="K949" s="1748"/>
      <c r="L949" s="1748"/>
      <c r="M949" s="1748"/>
      <c r="N949" s="1748"/>
      <c r="O949" s="1748"/>
      <c r="P949" s="6"/>
      <c r="Q949" s="6"/>
      <c r="R949" s="6"/>
      <c r="S949" s="6"/>
    </row>
    <row r="950" spans="1:19" x14ac:dyDescent="0.2">
      <c r="A950" s="1749"/>
      <c r="B950" s="1749"/>
      <c r="C950" s="1748"/>
      <c r="D950" s="1748"/>
      <c r="E950" s="1748"/>
      <c r="F950" s="1748"/>
      <c r="G950" s="1748"/>
      <c r="H950" s="1748"/>
      <c r="I950" s="1748"/>
      <c r="J950" s="1748"/>
      <c r="K950" s="1748"/>
      <c r="L950" s="1748"/>
      <c r="M950" s="1748"/>
      <c r="N950" s="1748"/>
      <c r="O950" s="1748"/>
      <c r="P950" s="6"/>
      <c r="Q950" s="6"/>
      <c r="R950" s="6"/>
      <c r="S950" s="6"/>
    </row>
    <row r="951" spans="1:19" x14ac:dyDescent="0.2">
      <c r="A951" s="1749"/>
      <c r="B951" s="1749"/>
      <c r="C951" s="1748"/>
      <c r="D951" s="1748"/>
      <c r="E951" s="1748"/>
      <c r="F951" s="1748"/>
      <c r="G951" s="1748"/>
      <c r="H951" s="1748"/>
      <c r="I951" s="1748"/>
      <c r="J951" s="1748"/>
      <c r="K951" s="1748"/>
      <c r="L951" s="1748"/>
      <c r="M951" s="1748"/>
      <c r="N951" s="1748"/>
      <c r="O951" s="1748"/>
      <c r="P951" s="6"/>
      <c r="Q951" s="6"/>
      <c r="R951" s="6"/>
      <c r="S951" s="6"/>
    </row>
    <row r="952" spans="1:19" x14ac:dyDescent="0.2">
      <c r="A952" s="1749"/>
      <c r="B952" s="1749"/>
      <c r="C952" s="1748"/>
      <c r="D952" s="1748"/>
      <c r="E952" s="1748"/>
      <c r="F952" s="1748"/>
      <c r="G952" s="1748"/>
      <c r="H952" s="1748"/>
      <c r="I952" s="1748"/>
      <c r="J952" s="1748"/>
      <c r="K952" s="1748"/>
      <c r="L952" s="1748"/>
      <c r="M952" s="1748"/>
      <c r="N952" s="1748"/>
      <c r="O952" s="1748"/>
      <c r="P952" s="6"/>
      <c r="Q952" s="6"/>
      <c r="R952" s="6"/>
      <c r="S952" s="6"/>
    </row>
    <row r="953" spans="1:19" x14ac:dyDescent="0.2">
      <c r="A953" s="1749"/>
      <c r="B953" s="1749"/>
      <c r="C953" s="1748"/>
      <c r="D953" s="1748"/>
      <c r="E953" s="1748"/>
      <c r="F953" s="1748"/>
      <c r="G953" s="1748"/>
      <c r="H953" s="1748"/>
      <c r="I953" s="1748"/>
      <c r="J953" s="1748"/>
      <c r="K953" s="1748"/>
      <c r="L953" s="1748"/>
      <c r="M953" s="1748"/>
      <c r="N953" s="1748"/>
      <c r="O953" s="1748"/>
      <c r="P953" s="6"/>
      <c r="Q953" s="6"/>
      <c r="R953" s="6"/>
      <c r="S953" s="6"/>
    </row>
    <row r="954" spans="1:19" x14ac:dyDescent="0.2">
      <c r="A954" s="1749"/>
      <c r="B954" s="1749"/>
      <c r="C954" s="1748"/>
      <c r="D954" s="1748"/>
      <c r="E954" s="1748"/>
      <c r="F954" s="1748"/>
      <c r="G954" s="1748"/>
      <c r="H954" s="1748"/>
      <c r="I954" s="1748"/>
      <c r="J954" s="1748"/>
      <c r="K954" s="1748"/>
      <c r="L954" s="1748"/>
      <c r="M954" s="1748"/>
      <c r="N954" s="1748"/>
      <c r="O954" s="1748"/>
      <c r="P954" s="6"/>
      <c r="Q954" s="6"/>
      <c r="R954" s="6"/>
      <c r="S954" s="6"/>
    </row>
    <row r="955" spans="1:19" x14ac:dyDescent="0.2">
      <c r="A955" s="1749"/>
      <c r="B955" s="1749"/>
      <c r="C955" s="1748"/>
      <c r="D955" s="1748"/>
      <c r="E955" s="1748"/>
      <c r="F955" s="1748"/>
      <c r="G955" s="1748"/>
      <c r="H955" s="1748"/>
      <c r="I955" s="1748"/>
      <c r="J955" s="1748"/>
      <c r="K955" s="1748"/>
      <c r="L955" s="1748"/>
      <c r="M955" s="1748"/>
      <c r="N955" s="1748"/>
      <c r="O955" s="1748"/>
      <c r="P955" s="6"/>
      <c r="Q955" s="6"/>
      <c r="R955" s="6"/>
      <c r="S955" s="6"/>
    </row>
    <row r="956" spans="1:19" x14ac:dyDescent="0.2">
      <c r="A956" s="1749"/>
      <c r="B956" s="1749"/>
      <c r="C956" s="1748"/>
      <c r="D956" s="1748"/>
      <c r="E956" s="1748"/>
      <c r="F956" s="1748"/>
      <c r="G956" s="1748"/>
      <c r="H956" s="1748"/>
      <c r="I956" s="1748"/>
      <c r="J956" s="1748"/>
      <c r="K956" s="1748"/>
      <c r="L956" s="1748"/>
      <c r="M956" s="1748"/>
      <c r="N956" s="1748"/>
      <c r="O956" s="1748"/>
      <c r="P956" s="6"/>
      <c r="Q956" s="6"/>
      <c r="R956" s="6"/>
      <c r="S956" s="6"/>
    </row>
    <row r="957" spans="1:19" x14ac:dyDescent="0.2">
      <c r="A957" s="1749"/>
      <c r="B957" s="1749"/>
      <c r="C957" s="1748"/>
      <c r="D957" s="1748"/>
      <c r="E957" s="1748"/>
      <c r="F957" s="1748"/>
      <c r="G957" s="1748"/>
      <c r="H957" s="1748"/>
      <c r="I957" s="1748"/>
      <c r="J957" s="1748"/>
      <c r="K957" s="1748"/>
      <c r="L957" s="1748"/>
      <c r="M957" s="1748"/>
      <c r="N957" s="1748"/>
      <c r="O957" s="1748"/>
      <c r="P957" s="6"/>
      <c r="Q957" s="6"/>
      <c r="R957" s="6"/>
      <c r="S957" s="6"/>
    </row>
    <row r="958" spans="1:19" x14ac:dyDescent="0.2">
      <c r="A958" s="1749"/>
      <c r="B958" s="1749"/>
      <c r="C958" s="1748"/>
      <c r="D958" s="1748"/>
      <c r="E958" s="1748"/>
      <c r="F958" s="1748"/>
      <c r="G958" s="1748"/>
      <c r="H958" s="1748"/>
      <c r="I958" s="1748"/>
      <c r="J958" s="1748"/>
      <c r="K958" s="1748"/>
      <c r="L958" s="1748"/>
      <c r="M958" s="1748"/>
      <c r="N958" s="1748"/>
      <c r="O958" s="1748"/>
      <c r="P958" s="6"/>
      <c r="Q958" s="6"/>
      <c r="R958" s="6"/>
      <c r="S958" s="6"/>
    </row>
    <row r="959" spans="1:19" x14ac:dyDescent="0.2">
      <c r="A959" s="1749"/>
      <c r="B959" s="1749"/>
      <c r="C959" s="1748"/>
      <c r="D959" s="1748"/>
      <c r="E959" s="1748"/>
      <c r="F959" s="1748"/>
      <c r="G959" s="1748"/>
      <c r="H959" s="1748"/>
      <c r="I959" s="1748"/>
      <c r="J959" s="1748"/>
      <c r="K959" s="1748"/>
      <c r="L959" s="1748"/>
      <c r="M959" s="1748"/>
      <c r="N959" s="1748"/>
      <c r="O959" s="1748"/>
      <c r="P959" s="6"/>
      <c r="Q959" s="6"/>
      <c r="R959" s="6"/>
      <c r="S959" s="6"/>
    </row>
    <row r="960" spans="1:19" x14ac:dyDescent="0.2">
      <c r="A960" s="1749"/>
      <c r="B960" s="1749"/>
      <c r="C960" s="1748"/>
      <c r="D960" s="1748"/>
      <c r="E960" s="1748"/>
      <c r="F960" s="1748"/>
      <c r="G960" s="1748"/>
      <c r="H960" s="1748"/>
      <c r="I960" s="1748"/>
      <c r="J960" s="1748"/>
      <c r="K960" s="1748"/>
      <c r="L960" s="1748"/>
      <c r="M960" s="1748"/>
      <c r="N960" s="1748"/>
      <c r="O960" s="1748"/>
      <c r="P960" s="6"/>
      <c r="Q960" s="6"/>
      <c r="R960" s="6"/>
      <c r="S960" s="6"/>
    </row>
    <row r="961" spans="1:19" x14ac:dyDescent="0.2">
      <c r="A961" s="1749"/>
      <c r="B961" s="1749"/>
      <c r="C961" s="1748"/>
      <c r="D961" s="1748"/>
      <c r="E961" s="1748"/>
      <c r="F961" s="1748"/>
      <c r="G961" s="1748"/>
      <c r="H961" s="1748"/>
      <c r="I961" s="1748"/>
      <c r="J961" s="1748"/>
      <c r="K961" s="1748"/>
      <c r="L961" s="1748"/>
      <c r="M961" s="1748"/>
      <c r="N961" s="1748"/>
      <c r="O961" s="1748"/>
      <c r="P961" s="6"/>
      <c r="Q961" s="6"/>
      <c r="R961" s="6"/>
      <c r="S961" s="6"/>
    </row>
    <row r="962" spans="1:19" x14ac:dyDescent="0.2">
      <c r="A962" s="1749"/>
      <c r="B962" s="1749"/>
      <c r="C962" s="1748"/>
      <c r="D962" s="1748"/>
      <c r="E962" s="1748"/>
      <c r="F962" s="1748"/>
      <c r="G962" s="1748"/>
      <c r="H962" s="1748"/>
      <c r="I962" s="1748"/>
      <c r="J962" s="1748"/>
      <c r="K962" s="1748"/>
      <c r="L962" s="1748"/>
      <c r="M962" s="1748"/>
      <c r="N962" s="1748"/>
      <c r="O962" s="1748"/>
      <c r="P962" s="6"/>
      <c r="Q962" s="6"/>
      <c r="R962" s="6"/>
      <c r="S962" s="6"/>
    </row>
    <row r="963" spans="1:19" x14ac:dyDescent="0.2">
      <c r="A963" s="1749"/>
      <c r="B963" s="1749"/>
      <c r="C963" s="1748"/>
      <c r="D963" s="1748"/>
      <c r="E963" s="1748"/>
      <c r="F963" s="1748"/>
      <c r="G963" s="1748"/>
      <c r="H963" s="1748"/>
      <c r="I963" s="1748"/>
      <c r="J963" s="1748"/>
      <c r="K963" s="1748"/>
      <c r="L963" s="1748"/>
      <c r="M963" s="1748"/>
      <c r="N963" s="1748"/>
      <c r="O963" s="1748"/>
      <c r="P963" s="6"/>
      <c r="Q963" s="6"/>
      <c r="R963" s="6"/>
      <c r="S963" s="6"/>
    </row>
    <row r="964" spans="1:19" x14ac:dyDescent="0.2">
      <c r="A964" s="1749"/>
      <c r="B964" s="1749"/>
      <c r="C964" s="1748"/>
      <c r="D964" s="1748"/>
      <c r="E964" s="1748"/>
      <c r="F964" s="1748"/>
      <c r="G964" s="1748"/>
      <c r="H964" s="1748"/>
      <c r="I964" s="1748"/>
      <c r="J964" s="1748"/>
      <c r="K964" s="1748"/>
      <c r="L964" s="1748"/>
      <c r="M964" s="1748"/>
      <c r="N964" s="1748"/>
      <c r="O964" s="1748"/>
      <c r="P964" s="6"/>
      <c r="Q964" s="6"/>
      <c r="R964" s="6"/>
      <c r="S964" s="6"/>
    </row>
    <row r="965" spans="1:19" x14ac:dyDescent="0.2">
      <c r="A965" s="1749"/>
      <c r="B965" s="1749"/>
      <c r="C965" s="1748"/>
      <c r="D965" s="1748"/>
      <c r="E965" s="1748"/>
      <c r="F965" s="1748"/>
      <c r="G965" s="1748"/>
      <c r="H965" s="1748"/>
      <c r="I965" s="1748"/>
      <c r="J965" s="1748"/>
      <c r="K965" s="1748"/>
      <c r="L965" s="1748"/>
      <c r="M965" s="1748"/>
      <c r="N965" s="1748"/>
      <c r="O965" s="1748"/>
      <c r="P965" s="6"/>
      <c r="Q965" s="6"/>
      <c r="R965" s="6"/>
      <c r="S965" s="6"/>
    </row>
    <row r="966" spans="1:19" x14ac:dyDescent="0.2">
      <c r="A966" s="1749"/>
      <c r="B966" s="1749"/>
      <c r="C966" s="1748"/>
      <c r="D966" s="1748"/>
      <c r="E966" s="1748"/>
      <c r="F966" s="1748"/>
      <c r="G966" s="1748"/>
      <c r="H966" s="1748"/>
      <c r="I966" s="1748"/>
      <c r="J966" s="1748"/>
      <c r="K966" s="1748"/>
      <c r="L966" s="1748"/>
      <c r="M966" s="1748"/>
      <c r="N966" s="1748"/>
      <c r="O966" s="1748"/>
      <c r="P966" s="6"/>
      <c r="Q966" s="6"/>
      <c r="R966" s="6"/>
      <c r="S966" s="6"/>
    </row>
    <row r="967" spans="1:19" x14ac:dyDescent="0.2">
      <c r="A967" s="1749"/>
      <c r="B967" s="1749"/>
      <c r="C967" s="1748"/>
      <c r="D967" s="1748"/>
      <c r="E967" s="1748"/>
      <c r="F967" s="1748"/>
      <c r="G967" s="1748"/>
      <c r="H967" s="1748"/>
      <c r="I967" s="1748"/>
      <c r="J967" s="1748"/>
      <c r="K967" s="1748"/>
      <c r="L967" s="1748"/>
      <c r="M967" s="1748"/>
      <c r="N967" s="1748"/>
      <c r="O967" s="1748"/>
      <c r="P967" s="6"/>
      <c r="Q967" s="6"/>
      <c r="R967" s="6"/>
      <c r="S967" s="6"/>
    </row>
    <row r="968" spans="1:19" x14ac:dyDescent="0.2">
      <c r="A968" s="1749"/>
      <c r="B968" s="1749"/>
      <c r="C968" s="1748"/>
      <c r="D968" s="1748"/>
      <c r="E968" s="1748"/>
      <c r="F968" s="1748"/>
      <c r="G968" s="1748"/>
      <c r="H968" s="1748"/>
      <c r="I968" s="1748"/>
      <c r="J968" s="1748"/>
      <c r="K968" s="1748"/>
      <c r="L968" s="1748"/>
      <c r="M968" s="1748"/>
      <c r="N968" s="1748"/>
      <c r="O968" s="1748"/>
      <c r="P968" s="6"/>
      <c r="Q968" s="6"/>
      <c r="R968" s="6"/>
      <c r="S968" s="6"/>
    </row>
    <row r="969" spans="1:19" x14ac:dyDescent="0.2">
      <c r="A969" s="1749"/>
      <c r="B969" s="1749"/>
      <c r="C969" s="1748"/>
      <c r="D969" s="1748"/>
      <c r="E969" s="1748"/>
      <c r="F969" s="1748"/>
      <c r="G969" s="1748"/>
      <c r="H969" s="1748"/>
      <c r="I969" s="1748"/>
      <c r="J969" s="1748"/>
      <c r="K969" s="1748"/>
      <c r="L969" s="1748"/>
      <c r="M969" s="1748"/>
      <c r="N969" s="1748"/>
      <c r="O969" s="1748"/>
      <c r="P969" s="6"/>
      <c r="Q969" s="6"/>
      <c r="R969" s="6"/>
      <c r="S969" s="6"/>
    </row>
    <row r="970" spans="1:19" x14ac:dyDescent="0.2">
      <c r="A970" s="1749"/>
      <c r="B970" s="1749"/>
      <c r="C970" s="1748"/>
      <c r="D970" s="1748"/>
      <c r="E970" s="1748"/>
      <c r="F970" s="1748"/>
      <c r="G970" s="1748"/>
      <c r="H970" s="1748"/>
      <c r="I970" s="1748"/>
      <c r="J970" s="1748"/>
      <c r="K970" s="1748"/>
      <c r="L970" s="1748"/>
      <c r="M970" s="1748"/>
      <c r="N970" s="1748"/>
      <c r="O970" s="1748"/>
      <c r="P970" s="6"/>
      <c r="Q970" s="6"/>
      <c r="R970" s="6"/>
      <c r="S970" s="6"/>
    </row>
    <row r="971" spans="1:19" x14ac:dyDescent="0.2">
      <c r="A971" s="1749"/>
      <c r="B971" s="1749"/>
      <c r="C971" s="1748"/>
      <c r="D971" s="1748"/>
      <c r="E971" s="1748"/>
      <c r="F971" s="1748"/>
      <c r="G971" s="1748"/>
      <c r="H971" s="1748"/>
      <c r="I971" s="1748"/>
      <c r="J971" s="1748"/>
      <c r="K971" s="1748"/>
      <c r="L971" s="1748"/>
      <c r="M971" s="1748"/>
      <c r="N971" s="1748"/>
      <c r="O971" s="1748"/>
      <c r="P971" s="6"/>
      <c r="Q971" s="6"/>
      <c r="R971" s="6"/>
      <c r="S971" s="6"/>
    </row>
    <row r="972" spans="1:19" x14ac:dyDescent="0.2">
      <c r="A972" s="1749"/>
      <c r="B972" s="1749"/>
      <c r="C972" s="1748"/>
      <c r="D972" s="1748"/>
      <c r="E972" s="1748"/>
      <c r="F972" s="1748"/>
      <c r="G972" s="1748"/>
      <c r="H972" s="1748"/>
      <c r="I972" s="1748"/>
      <c r="J972" s="1748"/>
      <c r="K972" s="1748"/>
      <c r="L972" s="1748"/>
      <c r="M972" s="1748"/>
      <c r="N972" s="1748"/>
      <c r="O972" s="1748"/>
      <c r="P972" s="6"/>
      <c r="Q972" s="6"/>
      <c r="R972" s="6"/>
      <c r="S972" s="6"/>
    </row>
    <row r="973" spans="1:19" x14ac:dyDescent="0.2">
      <c r="A973" s="1749"/>
      <c r="B973" s="1749"/>
      <c r="C973" s="1748"/>
      <c r="D973" s="1748"/>
      <c r="E973" s="1748"/>
      <c r="F973" s="1748"/>
      <c r="G973" s="1748"/>
      <c r="H973" s="1748"/>
      <c r="I973" s="1748"/>
      <c r="J973" s="1748"/>
      <c r="K973" s="1748"/>
      <c r="L973" s="1748"/>
      <c r="M973" s="1748"/>
      <c r="N973" s="1748"/>
      <c r="O973" s="1748"/>
      <c r="P973" s="6"/>
      <c r="Q973" s="6"/>
      <c r="R973" s="6"/>
      <c r="S973" s="6"/>
    </row>
    <row r="974" spans="1:19" x14ac:dyDescent="0.2">
      <c r="A974" s="1749"/>
      <c r="B974" s="1749"/>
      <c r="C974" s="1748"/>
      <c r="D974" s="1748"/>
      <c r="E974" s="1748"/>
      <c r="F974" s="1748"/>
      <c r="G974" s="1748"/>
      <c r="H974" s="1748"/>
      <c r="I974" s="1748"/>
      <c r="J974" s="1748"/>
      <c r="K974" s="1748"/>
      <c r="L974" s="1748"/>
      <c r="M974" s="1748"/>
      <c r="N974" s="1748"/>
      <c r="O974" s="1748"/>
      <c r="P974" s="6"/>
      <c r="Q974" s="6"/>
      <c r="R974" s="6"/>
      <c r="S974" s="6"/>
    </row>
    <row r="975" spans="1:19" x14ac:dyDescent="0.2">
      <c r="A975" s="1749"/>
      <c r="B975" s="1749"/>
      <c r="C975" s="1748"/>
      <c r="D975" s="1748"/>
      <c r="E975" s="1748"/>
      <c r="F975" s="1748"/>
      <c r="G975" s="1748"/>
      <c r="H975" s="1748"/>
      <c r="I975" s="1748"/>
      <c r="J975" s="1748"/>
      <c r="K975" s="1748"/>
      <c r="L975" s="1748"/>
      <c r="M975" s="1748"/>
      <c r="N975" s="1748"/>
      <c r="O975" s="1748"/>
      <c r="P975" s="6"/>
      <c r="Q975" s="6"/>
      <c r="R975" s="6"/>
      <c r="S975" s="6"/>
    </row>
    <row r="976" spans="1:19" x14ac:dyDescent="0.2">
      <c r="A976" s="1749"/>
      <c r="B976" s="1749"/>
      <c r="C976" s="1748"/>
      <c r="D976" s="1748"/>
      <c r="E976" s="1748"/>
      <c r="F976" s="1748"/>
      <c r="G976" s="1748"/>
      <c r="H976" s="1748"/>
      <c r="I976" s="1748"/>
      <c r="J976" s="1748"/>
      <c r="K976" s="1748"/>
      <c r="L976" s="1748"/>
      <c r="M976" s="1748"/>
      <c r="N976" s="1748"/>
      <c r="O976" s="1748"/>
      <c r="P976" s="6"/>
      <c r="Q976" s="6"/>
      <c r="R976" s="6"/>
      <c r="S976" s="6"/>
    </row>
    <row r="977" spans="1:19" x14ac:dyDescent="0.2">
      <c r="A977" s="1749"/>
      <c r="B977" s="1749"/>
      <c r="C977" s="1748"/>
      <c r="D977" s="1748"/>
      <c r="E977" s="1748"/>
      <c r="F977" s="1748"/>
      <c r="G977" s="1748"/>
      <c r="H977" s="1748"/>
      <c r="I977" s="1748"/>
      <c r="J977" s="1748"/>
      <c r="K977" s="1748"/>
      <c r="L977" s="1748"/>
      <c r="M977" s="1748"/>
      <c r="N977" s="1748"/>
      <c r="O977" s="1748"/>
      <c r="P977" s="6"/>
      <c r="Q977" s="6"/>
      <c r="R977" s="6"/>
      <c r="S977" s="6"/>
    </row>
    <row r="978" spans="1:19" x14ac:dyDescent="0.2">
      <c r="A978" s="1749"/>
      <c r="B978" s="1749"/>
      <c r="C978" s="1748"/>
      <c r="D978" s="1748"/>
      <c r="E978" s="1748"/>
      <c r="F978" s="1748"/>
      <c r="G978" s="1748"/>
      <c r="H978" s="1748"/>
      <c r="I978" s="1748"/>
      <c r="J978" s="1748"/>
      <c r="K978" s="1748"/>
      <c r="L978" s="1748"/>
      <c r="M978" s="1748"/>
      <c r="N978" s="1748"/>
      <c r="O978" s="1748"/>
      <c r="P978" s="6"/>
      <c r="Q978" s="6"/>
      <c r="R978" s="6"/>
      <c r="S978" s="6"/>
    </row>
    <row r="979" spans="1:19" x14ac:dyDescent="0.2">
      <c r="A979" s="1749"/>
      <c r="B979" s="1749"/>
      <c r="C979" s="1748"/>
      <c r="D979" s="1748"/>
      <c r="E979" s="1748"/>
      <c r="F979" s="1748"/>
      <c r="G979" s="1748"/>
      <c r="H979" s="1748"/>
      <c r="I979" s="1748"/>
      <c r="J979" s="1748"/>
      <c r="K979" s="1748"/>
      <c r="L979" s="1748"/>
      <c r="M979" s="1748"/>
      <c r="N979" s="1748"/>
      <c r="O979" s="1748"/>
      <c r="P979" s="6"/>
      <c r="Q979" s="6"/>
      <c r="R979" s="6"/>
      <c r="S979" s="6"/>
    </row>
    <row r="980" spans="1:19" x14ac:dyDescent="0.2">
      <c r="A980" s="1749"/>
      <c r="B980" s="1749"/>
      <c r="C980" s="1748"/>
      <c r="D980" s="1748"/>
      <c r="E980" s="1748"/>
      <c r="F980" s="1748"/>
      <c r="G980" s="1748"/>
      <c r="H980" s="1748"/>
      <c r="I980" s="1748"/>
      <c r="J980" s="1748"/>
      <c r="K980" s="1748"/>
      <c r="L980" s="1748"/>
      <c r="M980" s="1748"/>
      <c r="N980" s="1748"/>
      <c r="O980" s="1748"/>
      <c r="P980" s="6"/>
      <c r="Q980" s="6"/>
      <c r="R980" s="6"/>
      <c r="S980" s="6"/>
    </row>
    <row r="981" spans="1:19" x14ac:dyDescent="0.2">
      <c r="A981" s="1749"/>
      <c r="B981" s="1749"/>
      <c r="C981" s="1748"/>
      <c r="D981" s="1748"/>
      <c r="E981" s="1748"/>
      <c r="F981" s="1748"/>
      <c r="G981" s="1748"/>
      <c r="H981" s="1748"/>
      <c r="I981" s="1748"/>
      <c r="J981" s="1748"/>
      <c r="K981" s="1748"/>
      <c r="L981" s="1748"/>
      <c r="M981" s="1748"/>
      <c r="N981" s="1748"/>
      <c r="O981" s="1748"/>
      <c r="P981" s="6"/>
      <c r="Q981" s="6"/>
      <c r="R981" s="6"/>
      <c r="S981" s="6"/>
    </row>
    <row r="982" spans="1:19" x14ac:dyDescent="0.2">
      <c r="A982" s="1749"/>
      <c r="B982" s="1749"/>
      <c r="C982" s="1748"/>
      <c r="D982" s="1748"/>
      <c r="E982" s="1748"/>
      <c r="F982" s="1748"/>
      <c r="G982" s="1748"/>
      <c r="H982" s="1748"/>
      <c r="I982" s="1748"/>
      <c r="J982" s="1748"/>
      <c r="K982" s="1748"/>
      <c r="L982" s="1748"/>
      <c r="M982" s="1748"/>
      <c r="N982" s="1748"/>
      <c r="O982" s="1748"/>
      <c r="P982" s="6"/>
      <c r="Q982" s="6"/>
      <c r="R982" s="6"/>
      <c r="S982" s="6"/>
    </row>
    <row r="983" spans="1:19" x14ac:dyDescent="0.2">
      <c r="A983" s="1749"/>
      <c r="B983" s="1749"/>
      <c r="C983" s="1748"/>
      <c r="D983" s="1748"/>
      <c r="E983" s="1748"/>
      <c r="F983" s="1748"/>
      <c r="G983" s="1748"/>
      <c r="H983" s="1748"/>
      <c r="I983" s="1748"/>
      <c r="J983" s="1748"/>
      <c r="K983" s="1748"/>
      <c r="L983" s="1748"/>
      <c r="M983" s="1748"/>
      <c r="N983" s="1748"/>
      <c r="O983" s="1748"/>
      <c r="P983" s="6"/>
      <c r="Q983" s="6"/>
      <c r="R983" s="6"/>
      <c r="S983" s="6"/>
    </row>
    <row r="984" spans="1:19" x14ac:dyDescent="0.2">
      <c r="A984" s="1749"/>
      <c r="B984" s="1749"/>
      <c r="C984" s="1748"/>
      <c r="D984" s="1748"/>
      <c r="E984" s="1748"/>
      <c r="F984" s="1748"/>
      <c r="G984" s="1748"/>
      <c r="H984" s="1748"/>
      <c r="I984" s="1748"/>
      <c r="J984" s="1748"/>
      <c r="K984" s="1748"/>
      <c r="L984" s="1748"/>
      <c r="M984" s="1748"/>
      <c r="N984" s="1748"/>
      <c r="O984" s="1748"/>
      <c r="P984" s="6"/>
      <c r="Q984" s="6"/>
      <c r="R984" s="6"/>
      <c r="S984" s="6"/>
    </row>
    <row r="985" spans="1:19" x14ac:dyDescent="0.2">
      <c r="A985" s="1749"/>
      <c r="B985" s="1749"/>
      <c r="C985" s="1748"/>
      <c r="D985" s="1748"/>
      <c r="E985" s="1748"/>
      <c r="F985" s="1748"/>
      <c r="G985" s="1748"/>
      <c r="H985" s="1748"/>
      <c r="I985" s="1748"/>
      <c r="J985" s="1748"/>
      <c r="K985" s="1748"/>
      <c r="L985" s="1748"/>
      <c r="M985" s="1748"/>
      <c r="N985" s="1748"/>
      <c r="O985" s="1748"/>
      <c r="P985" s="6"/>
      <c r="Q985" s="6"/>
      <c r="R985" s="6"/>
      <c r="S985" s="6"/>
    </row>
    <row r="986" spans="1:19" x14ac:dyDescent="0.2">
      <c r="A986" s="1749"/>
      <c r="B986" s="1749"/>
      <c r="C986" s="1748"/>
      <c r="D986" s="1748"/>
      <c r="E986" s="1748"/>
      <c r="F986" s="1748"/>
      <c r="G986" s="1748"/>
      <c r="H986" s="1748"/>
      <c r="I986" s="1748"/>
      <c r="J986" s="1748"/>
      <c r="K986" s="1748"/>
      <c r="L986" s="1748"/>
      <c r="M986" s="1748"/>
      <c r="N986" s="1748"/>
      <c r="O986" s="1748"/>
      <c r="P986" s="6"/>
      <c r="Q986" s="6"/>
      <c r="R986" s="6"/>
      <c r="S986" s="6"/>
    </row>
    <row r="987" spans="1:19" x14ac:dyDescent="0.2">
      <c r="A987" s="1749"/>
      <c r="B987" s="1749"/>
      <c r="C987" s="1748"/>
      <c r="D987" s="1748"/>
      <c r="E987" s="1748"/>
      <c r="F987" s="1748"/>
      <c r="G987" s="1748"/>
      <c r="H987" s="1748"/>
      <c r="I987" s="1748"/>
      <c r="J987" s="1748"/>
      <c r="K987" s="1748"/>
      <c r="L987" s="1748"/>
      <c r="M987" s="1748"/>
      <c r="N987" s="1748"/>
      <c r="O987" s="1748"/>
      <c r="P987" s="6"/>
      <c r="Q987" s="6"/>
      <c r="R987" s="6"/>
      <c r="S987" s="6"/>
    </row>
    <row r="988" spans="1:19" x14ac:dyDescent="0.2">
      <c r="A988" s="1749"/>
      <c r="B988" s="1749"/>
      <c r="C988" s="1748"/>
      <c r="D988" s="1748"/>
      <c r="E988" s="1748"/>
      <c r="F988" s="1748"/>
      <c r="G988" s="1748"/>
      <c r="H988" s="1748"/>
      <c r="I988" s="1748"/>
      <c r="J988" s="1748"/>
      <c r="K988" s="1748"/>
      <c r="L988" s="1748"/>
      <c r="M988" s="1748"/>
      <c r="N988" s="1748"/>
      <c r="O988" s="1748"/>
      <c r="P988" s="6"/>
      <c r="Q988" s="6"/>
      <c r="R988" s="6"/>
      <c r="S988" s="6"/>
    </row>
    <row r="989" spans="1:19" x14ac:dyDescent="0.2">
      <c r="A989" s="1749"/>
      <c r="B989" s="1749"/>
      <c r="C989" s="1748"/>
      <c r="D989" s="1748"/>
      <c r="E989" s="1748"/>
      <c r="F989" s="1748"/>
      <c r="G989" s="1748"/>
      <c r="H989" s="1748"/>
      <c r="I989" s="1748"/>
      <c r="J989" s="1748"/>
      <c r="K989" s="1748"/>
      <c r="L989" s="1748"/>
      <c r="M989" s="1748"/>
      <c r="N989" s="1748"/>
      <c r="O989" s="1748"/>
      <c r="P989" s="6"/>
      <c r="Q989" s="6"/>
      <c r="R989" s="6"/>
      <c r="S989" s="6"/>
    </row>
    <row r="990" spans="1:19" x14ac:dyDescent="0.2">
      <c r="A990" s="1749"/>
      <c r="B990" s="1749"/>
      <c r="C990" s="1748"/>
      <c r="D990" s="1748"/>
      <c r="E990" s="1748"/>
      <c r="F990" s="1748"/>
      <c r="G990" s="1748"/>
      <c r="H990" s="1748"/>
      <c r="I990" s="1748"/>
      <c r="J990" s="1748"/>
      <c r="K990" s="1748"/>
      <c r="L990" s="1748"/>
      <c r="M990" s="1748"/>
      <c r="N990" s="1748"/>
      <c r="O990" s="1748"/>
      <c r="P990" s="6"/>
      <c r="Q990" s="6"/>
      <c r="R990" s="6"/>
      <c r="S990" s="6"/>
    </row>
    <row r="991" spans="1:19" x14ac:dyDescent="0.2">
      <c r="A991" s="1749"/>
      <c r="B991" s="1749"/>
      <c r="C991" s="1748"/>
      <c r="D991" s="1748"/>
      <c r="E991" s="1748"/>
      <c r="F991" s="1748"/>
      <c r="G991" s="1748"/>
      <c r="H991" s="1748"/>
      <c r="I991" s="1748"/>
      <c r="J991" s="1748"/>
      <c r="K991" s="1748"/>
      <c r="L991" s="1748"/>
      <c r="M991" s="1748"/>
      <c r="N991" s="1748"/>
      <c r="O991" s="1748"/>
      <c r="P991" s="6"/>
      <c r="Q991" s="6"/>
      <c r="R991" s="6"/>
      <c r="S991" s="6"/>
    </row>
    <row r="992" spans="1:19" x14ac:dyDescent="0.2">
      <c r="A992" s="1749"/>
      <c r="B992" s="1749"/>
      <c r="C992" s="1748"/>
      <c r="D992" s="1748"/>
      <c r="E992" s="1748"/>
      <c r="F992" s="1748"/>
      <c r="G992" s="1748"/>
      <c r="H992" s="1748"/>
      <c r="I992" s="1748"/>
      <c r="J992" s="1748"/>
      <c r="K992" s="1748"/>
      <c r="L992" s="1748"/>
      <c r="M992" s="1748"/>
      <c r="N992" s="1748"/>
      <c r="O992" s="1748"/>
      <c r="P992" s="6"/>
      <c r="Q992" s="6"/>
      <c r="R992" s="6"/>
      <c r="S992" s="6"/>
    </row>
    <row r="993" spans="1:19" x14ac:dyDescent="0.2">
      <c r="A993" s="1749"/>
      <c r="B993" s="1749"/>
      <c r="C993" s="1748"/>
      <c r="D993" s="1748"/>
      <c r="E993" s="1748"/>
      <c r="F993" s="1748"/>
      <c r="G993" s="1748"/>
      <c r="H993" s="1748"/>
      <c r="I993" s="1748"/>
      <c r="J993" s="1748"/>
      <c r="K993" s="1748"/>
      <c r="L993" s="1748"/>
      <c r="M993" s="1748"/>
      <c r="N993" s="1748"/>
      <c r="O993" s="1748"/>
      <c r="P993" s="6"/>
      <c r="Q993" s="6"/>
      <c r="R993" s="6"/>
      <c r="S993" s="6"/>
    </row>
    <row r="994" spans="1:19" x14ac:dyDescent="0.2">
      <c r="A994" s="1749"/>
      <c r="B994" s="1749"/>
      <c r="C994" s="1748"/>
      <c r="D994" s="1748"/>
      <c r="E994" s="1748"/>
      <c r="F994" s="1748"/>
      <c r="G994" s="1748"/>
      <c r="H994" s="1748"/>
      <c r="I994" s="1748"/>
      <c r="J994" s="1748"/>
      <c r="K994" s="1748"/>
      <c r="L994" s="1748"/>
      <c r="M994" s="1748"/>
      <c r="N994" s="1748"/>
      <c r="O994" s="1748"/>
      <c r="P994" s="6"/>
      <c r="Q994" s="6"/>
      <c r="R994" s="6"/>
      <c r="S994" s="6"/>
    </row>
    <row r="995" spans="1:19" x14ac:dyDescent="0.2">
      <c r="A995" s="1749"/>
      <c r="B995" s="1749"/>
      <c r="C995" s="1748"/>
      <c r="D995" s="1748"/>
      <c r="E995" s="1748"/>
      <c r="F995" s="1748"/>
      <c r="G995" s="1748"/>
      <c r="H995" s="1748"/>
      <c r="I995" s="1748"/>
      <c r="J995" s="1748"/>
      <c r="K995" s="1748"/>
      <c r="L995" s="1748"/>
      <c r="M995" s="1748"/>
      <c r="N995" s="1748"/>
      <c r="O995" s="1748"/>
      <c r="P995" s="6"/>
      <c r="Q995" s="6"/>
      <c r="R995" s="6"/>
      <c r="S995" s="6"/>
    </row>
    <row r="996" spans="1:19" x14ac:dyDescent="0.2">
      <c r="A996" s="1749"/>
      <c r="B996" s="1749"/>
      <c r="C996" s="1748"/>
      <c r="D996" s="1748"/>
      <c r="E996" s="1748"/>
      <c r="F996" s="1748"/>
      <c r="G996" s="1748"/>
      <c r="H996" s="1748"/>
      <c r="I996" s="1748"/>
      <c r="J996" s="1748"/>
      <c r="K996" s="1748"/>
      <c r="L996" s="1748"/>
      <c r="M996" s="1748"/>
      <c r="N996" s="1748"/>
      <c r="O996" s="1748"/>
      <c r="P996" s="6"/>
      <c r="Q996" s="6"/>
      <c r="R996" s="6"/>
      <c r="S996" s="6"/>
    </row>
    <row r="997" spans="1:19" x14ac:dyDescent="0.2">
      <c r="A997" s="1749"/>
      <c r="B997" s="1749"/>
      <c r="C997" s="1748"/>
      <c r="D997" s="1748"/>
      <c r="E997" s="1748"/>
      <c r="F997" s="1748"/>
      <c r="G997" s="1748"/>
      <c r="H997" s="1748"/>
      <c r="I997" s="1748"/>
      <c r="J997" s="1748"/>
      <c r="K997" s="1748"/>
      <c r="L997" s="1748"/>
      <c r="M997" s="1748"/>
      <c r="N997" s="1748"/>
      <c r="O997" s="1748"/>
      <c r="P997" s="6"/>
      <c r="Q997" s="6"/>
      <c r="R997" s="6"/>
      <c r="S997" s="6"/>
    </row>
    <row r="998" spans="1:19" x14ac:dyDescent="0.2">
      <c r="A998" s="1749"/>
      <c r="B998" s="1749"/>
      <c r="C998" s="1748"/>
      <c r="D998" s="1748"/>
      <c r="E998" s="1748"/>
      <c r="F998" s="1748"/>
      <c r="G998" s="1748"/>
      <c r="H998" s="1748"/>
      <c r="I998" s="1748"/>
      <c r="J998" s="1748"/>
      <c r="K998" s="1748"/>
      <c r="L998" s="1748"/>
      <c r="M998" s="1748"/>
      <c r="N998" s="1748"/>
      <c r="O998" s="1748"/>
      <c r="P998" s="6"/>
      <c r="Q998" s="6"/>
      <c r="R998" s="6"/>
      <c r="S998" s="6"/>
    </row>
    <row r="999" spans="1:19" x14ac:dyDescent="0.2">
      <c r="A999" s="1749"/>
      <c r="B999" s="1749"/>
      <c r="C999" s="1748"/>
      <c r="D999" s="1748"/>
      <c r="E999" s="1748"/>
      <c r="F999" s="1748"/>
      <c r="G999" s="1748"/>
      <c r="H999" s="1748"/>
      <c r="I999" s="1748"/>
      <c r="J999" s="1748"/>
      <c r="K999" s="1748"/>
      <c r="L999" s="1748"/>
      <c r="M999" s="1748"/>
      <c r="N999" s="1748"/>
      <c r="O999" s="1748"/>
      <c r="P999" s="6"/>
      <c r="Q999" s="6"/>
      <c r="R999" s="6"/>
      <c r="S999" s="6"/>
    </row>
    <row r="1000" spans="1:19" x14ac:dyDescent="0.2">
      <c r="A1000" s="1749"/>
      <c r="B1000" s="1749"/>
      <c r="C1000" s="1748"/>
      <c r="D1000" s="1748"/>
      <c r="E1000" s="1748"/>
      <c r="F1000" s="1748"/>
      <c r="G1000" s="1748"/>
      <c r="H1000" s="1748"/>
      <c r="I1000" s="1748"/>
      <c r="J1000" s="1748"/>
      <c r="K1000" s="1748"/>
      <c r="L1000" s="1748"/>
      <c r="M1000" s="1748"/>
      <c r="N1000" s="1748"/>
      <c r="O1000" s="1748"/>
      <c r="P1000" s="6"/>
      <c r="Q1000" s="6"/>
      <c r="R1000" s="6"/>
      <c r="S1000" s="6"/>
    </row>
    <row r="1001" spans="1:19" x14ac:dyDescent="0.2">
      <c r="A1001" s="1749"/>
      <c r="B1001" s="1749"/>
      <c r="C1001" s="1748"/>
      <c r="D1001" s="1748"/>
      <c r="E1001" s="1748"/>
      <c r="F1001" s="1748"/>
      <c r="G1001" s="1748"/>
      <c r="H1001" s="1748"/>
      <c r="I1001" s="1748"/>
      <c r="J1001" s="1748"/>
      <c r="K1001" s="1748"/>
      <c r="L1001" s="1748"/>
      <c r="M1001" s="1748"/>
      <c r="N1001" s="1748"/>
      <c r="O1001" s="1748"/>
      <c r="P1001" s="6"/>
      <c r="Q1001" s="6"/>
      <c r="R1001" s="6"/>
      <c r="S1001" s="6"/>
    </row>
    <row r="1002" spans="1:19" x14ac:dyDescent="0.2">
      <c r="A1002" s="1749"/>
      <c r="B1002" s="1749"/>
      <c r="C1002" s="1748"/>
      <c r="D1002" s="1748"/>
      <c r="E1002" s="1748"/>
      <c r="F1002" s="1748"/>
      <c r="G1002" s="1748"/>
      <c r="H1002" s="1748"/>
      <c r="I1002" s="1748"/>
      <c r="J1002" s="1748"/>
      <c r="K1002" s="1748"/>
      <c r="L1002" s="1748"/>
      <c r="M1002" s="1748"/>
      <c r="N1002" s="1748"/>
      <c r="O1002" s="1748"/>
      <c r="P1002" s="6"/>
      <c r="Q1002" s="6"/>
      <c r="R1002" s="6"/>
      <c r="S1002" s="6"/>
    </row>
    <row r="1003" spans="1:19" x14ac:dyDescent="0.2">
      <c r="A1003" s="1749"/>
      <c r="B1003" s="1749"/>
      <c r="C1003" s="1748"/>
      <c r="D1003" s="1748"/>
      <c r="E1003" s="1748"/>
      <c r="F1003" s="1748"/>
      <c r="G1003" s="1748"/>
      <c r="H1003" s="1748"/>
      <c r="I1003" s="1748"/>
      <c r="J1003" s="1748"/>
      <c r="K1003" s="1748"/>
      <c r="L1003" s="1748"/>
      <c r="M1003" s="1748"/>
      <c r="N1003" s="1748"/>
      <c r="O1003" s="1748"/>
      <c r="P1003" s="6"/>
      <c r="Q1003" s="6"/>
      <c r="R1003" s="6"/>
      <c r="S1003" s="6"/>
    </row>
    <row r="1004" spans="1:19" x14ac:dyDescent="0.2">
      <c r="A1004" s="1749"/>
      <c r="B1004" s="1749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</row>
    <row r="1005" spans="1:19" x14ac:dyDescent="0.2">
      <c r="A1005" s="1749"/>
      <c r="B1005" s="1749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</row>
    <row r="1006" spans="1:19" x14ac:dyDescent="0.2">
      <c r="A1006" s="1749"/>
      <c r="B1006" s="1749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</row>
    <row r="1007" spans="1:19" x14ac:dyDescent="0.2">
      <c r="A1007" s="1749"/>
      <c r="B1007" s="1749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</row>
    <row r="1008" spans="1:19" x14ac:dyDescent="0.2">
      <c r="A1008" s="1749"/>
      <c r="B1008" s="1749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</row>
    <row r="1009" spans="1:19" x14ac:dyDescent="0.2">
      <c r="A1009" s="1749"/>
      <c r="B1009" s="1749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</row>
    <row r="1010" spans="1:19" x14ac:dyDescent="0.2">
      <c r="A1010" s="1749"/>
      <c r="B1010" s="1749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</row>
    <row r="1011" spans="1:19" x14ac:dyDescent="0.2">
      <c r="A1011" s="1749"/>
      <c r="B1011" s="1749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</row>
    <row r="1012" spans="1:19" x14ac:dyDescent="0.2">
      <c r="A1012" s="1749"/>
      <c r="B1012" s="1749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</row>
    <row r="1013" spans="1:19" x14ac:dyDescent="0.2">
      <c r="A1013" s="1749"/>
      <c r="B1013" s="1749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</row>
    <row r="1014" spans="1:19" x14ac:dyDescent="0.2">
      <c r="A1014" s="1749"/>
      <c r="B1014" s="1749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</row>
    <row r="1015" spans="1:19" x14ac:dyDescent="0.2">
      <c r="A1015" s="1749"/>
      <c r="B1015" s="1749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</row>
    <row r="1016" spans="1:19" x14ac:dyDescent="0.2">
      <c r="A1016" s="1749"/>
      <c r="B1016" s="1749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</row>
    <row r="1017" spans="1:19" x14ac:dyDescent="0.2">
      <c r="A1017" s="1749"/>
      <c r="B1017" s="1749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</row>
    <row r="1018" spans="1:19" x14ac:dyDescent="0.2">
      <c r="A1018" s="1749"/>
      <c r="B1018" s="1749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</row>
    <row r="1019" spans="1:19" x14ac:dyDescent="0.2">
      <c r="A1019" s="1749"/>
      <c r="B1019" s="1749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</row>
    <row r="1020" spans="1:19" x14ac:dyDescent="0.2">
      <c r="A1020" s="1749"/>
      <c r="B1020" s="1749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</row>
    <row r="1021" spans="1:19" x14ac:dyDescent="0.2">
      <c r="A1021" s="1749"/>
      <c r="B1021" s="1749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</row>
    <row r="1022" spans="1:19" x14ac:dyDescent="0.2">
      <c r="A1022" s="1749"/>
      <c r="B1022" s="1749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</row>
    <row r="1023" spans="1:19" x14ac:dyDescent="0.2">
      <c r="A1023" s="1749"/>
      <c r="B1023" s="1749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</row>
    <row r="1024" spans="1:19" x14ac:dyDescent="0.2">
      <c r="A1024" s="1749"/>
      <c r="B1024" s="1749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</row>
    <row r="1025" spans="1:19" x14ac:dyDescent="0.2">
      <c r="A1025" s="1749"/>
      <c r="B1025" s="1749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</row>
    <row r="1026" spans="1:19" x14ac:dyDescent="0.2">
      <c r="A1026" s="1749"/>
      <c r="B1026" s="1749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</row>
    <row r="1027" spans="1:19" x14ac:dyDescent="0.2">
      <c r="A1027" s="1749"/>
      <c r="B1027" s="1749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</row>
    <row r="1028" spans="1:19" x14ac:dyDescent="0.2">
      <c r="A1028" s="1749"/>
      <c r="B1028" s="1749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</row>
    <row r="1029" spans="1:19" x14ac:dyDescent="0.2">
      <c r="A1029" s="1749"/>
      <c r="B1029" s="1749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</row>
    <row r="1030" spans="1:19" x14ac:dyDescent="0.2">
      <c r="A1030" s="1749"/>
      <c r="B1030" s="1749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</row>
    <row r="1031" spans="1:19" x14ac:dyDescent="0.2">
      <c r="A1031" s="1749"/>
      <c r="B1031" s="1749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</row>
    <row r="1032" spans="1:19" x14ac:dyDescent="0.2">
      <c r="A1032" s="1749"/>
      <c r="B1032" s="1749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</row>
    <row r="1033" spans="1:19" x14ac:dyDescent="0.2">
      <c r="A1033" s="1749"/>
      <c r="B1033" s="1749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</row>
    <row r="1034" spans="1:19" x14ac:dyDescent="0.2">
      <c r="A1034" s="1749"/>
      <c r="B1034" s="1749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</row>
    <row r="1035" spans="1:19" x14ac:dyDescent="0.2">
      <c r="A1035" s="1749"/>
      <c r="B1035" s="1749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</row>
    <row r="1036" spans="1:19" x14ac:dyDescent="0.2">
      <c r="A1036" s="1749"/>
      <c r="B1036" s="1749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</row>
    <row r="1037" spans="1:19" x14ac:dyDescent="0.2">
      <c r="A1037" s="1749"/>
      <c r="B1037" s="1749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</row>
    <row r="1038" spans="1:19" x14ac:dyDescent="0.2">
      <c r="A1038" s="1749"/>
      <c r="B1038" s="1749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</row>
    <row r="1039" spans="1:19" x14ac:dyDescent="0.2">
      <c r="A1039" s="1749"/>
      <c r="B1039" s="1749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</row>
    <row r="1040" spans="1:19" x14ac:dyDescent="0.2">
      <c r="A1040" s="1749"/>
      <c r="B1040" s="1749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</row>
    <row r="1041" spans="1:19" x14ac:dyDescent="0.2">
      <c r="A1041" s="1749"/>
      <c r="B1041" s="1749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</row>
    <row r="1042" spans="1:19" x14ac:dyDescent="0.2">
      <c r="A1042" s="1749"/>
      <c r="B1042" s="1749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</row>
    <row r="1043" spans="1:19" x14ac:dyDescent="0.2">
      <c r="A1043" s="1749"/>
      <c r="B1043" s="1749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</row>
    <row r="1044" spans="1:19" x14ac:dyDescent="0.2">
      <c r="A1044" s="1749"/>
      <c r="B1044" s="1749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</row>
    <row r="1045" spans="1:19" x14ac:dyDescent="0.2">
      <c r="A1045" s="1749"/>
      <c r="B1045" s="1749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</row>
    <row r="1046" spans="1:19" x14ac:dyDescent="0.2">
      <c r="A1046" s="1749"/>
      <c r="B1046" s="1749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</row>
    <row r="1047" spans="1:19" x14ac:dyDescent="0.2">
      <c r="A1047" s="1749"/>
      <c r="B1047" s="1749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</row>
    <row r="1048" spans="1:19" x14ac:dyDescent="0.2">
      <c r="A1048" s="1749"/>
      <c r="B1048" s="1749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</row>
    <row r="1049" spans="1:19" x14ac:dyDescent="0.2">
      <c r="A1049" s="1749"/>
      <c r="B1049" s="1749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</row>
    <row r="1050" spans="1:19" x14ac:dyDescent="0.2">
      <c r="A1050" s="1749"/>
      <c r="B1050" s="1749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</row>
    <row r="1051" spans="1:19" x14ac:dyDescent="0.2">
      <c r="A1051" s="1749"/>
      <c r="B1051" s="1749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</row>
    <row r="1052" spans="1:19" x14ac:dyDescent="0.2">
      <c r="A1052" s="1749"/>
      <c r="B1052" s="1749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</row>
    <row r="1053" spans="1:19" x14ac:dyDescent="0.2">
      <c r="A1053" s="1749"/>
      <c r="B1053" s="1749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</row>
    <row r="1054" spans="1:19" x14ac:dyDescent="0.2">
      <c r="A1054" s="1749"/>
      <c r="B1054" s="1749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</row>
    <row r="1055" spans="1:19" x14ac:dyDescent="0.2">
      <c r="A1055" s="1749"/>
      <c r="B1055" s="1749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</row>
    <row r="1056" spans="1:19" x14ac:dyDescent="0.2">
      <c r="A1056" s="1749"/>
      <c r="B1056" s="1749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</row>
    <row r="1057" spans="1:19" x14ac:dyDescent="0.2">
      <c r="A1057" s="1749"/>
      <c r="B1057" s="1749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</row>
    <row r="1058" spans="1:19" x14ac:dyDescent="0.2">
      <c r="A1058" s="1749"/>
      <c r="B1058" s="1749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</row>
    <row r="1059" spans="1:19" x14ac:dyDescent="0.2">
      <c r="A1059" s="1749"/>
      <c r="B1059" s="1749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</row>
    <row r="1060" spans="1:19" x14ac:dyDescent="0.2">
      <c r="A1060" s="1749"/>
      <c r="B1060" s="1749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</row>
    <row r="1061" spans="1:19" x14ac:dyDescent="0.2">
      <c r="A1061" s="1749"/>
      <c r="B1061" s="1749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</row>
    <row r="1062" spans="1:19" x14ac:dyDescent="0.2">
      <c r="A1062" s="1749"/>
      <c r="B1062" s="1749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</row>
    <row r="1063" spans="1:19" x14ac:dyDescent="0.2">
      <c r="A1063" s="1749"/>
      <c r="B1063" s="1749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</row>
    <row r="1064" spans="1:19" x14ac:dyDescent="0.2">
      <c r="A1064" s="1749"/>
      <c r="B1064" s="1749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</row>
  </sheetData>
  <mergeCells count="10">
    <mergeCell ref="A1:L1"/>
    <mergeCell ref="A189:B189"/>
    <mergeCell ref="A173:B173"/>
    <mergeCell ref="A62:B62"/>
    <mergeCell ref="A4:B4"/>
    <mergeCell ref="A84:B84"/>
    <mergeCell ref="A56:B56"/>
    <mergeCell ref="A75:B75"/>
    <mergeCell ref="A79:B79"/>
    <mergeCell ref="A169:B169"/>
  </mergeCells>
  <phoneticPr fontId="3" type="noConversion"/>
  <pageMargins left="0.5" right="0.78740157480314965" top="0.17" bottom="0.17" header="0.51181102362204722" footer="0.25"/>
  <pageSetup paperSize="9" scale="18" orientation="landscape" r:id="rId1"/>
  <headerFooter alignWithMargins="0">
    <oddHeader>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J129"/>
  <sheetViews>
    <sheetView topLeftCell="A42" workbookViewId="0">
      <selection sqref="A1:G62"/>
    </sheetView>
  </sheetViews>
  <sheetFormatPr defaultRowHeight="12.75" x14ac:dyDescent="0.2"/>
  <cols>
    <col min="4" max="4" width="10.42578125" customWidth="1"/>
    <col min="5" max="5" width="13" customWidth="1"/>
    <col min="6" max="6" width="19.28515625" customWidth="1"/>
    <col min="7" max="7" width="21" customWidth="1"/>
    <col min="8" max="8" width="10.85546875" bestFit="1" customWidth="1"/>
    <col min="9" max="9" width="12.28515625" bestFit="1" customWidth="1"/>
  </cols>
  <sheetData>
    <row r="1" spans="1:10" ht="29.25" customHeight="1" thickBot="1" x14ac:dyDescent="0.25">
      <c r="A1" s="1986" t="s">
        <v>569</v>
      </c>
      <c r="B1" s="1987"/>
      <c r="C1" s="1987"/>
      <c r="D1" s="1987"/>
      <c r="E1" s="1987"/>
      <c r="F1" s="1987"/>
      <c r="G1" s="2098"/>
    </row>
    <row r="2" spans="1:10" ht="0.75" customHeight="1" x14ac:dyDescent="0.2">
      <c r="A2" s="1837" t="s">
        <v>146</v>
      </c>
      <c r="B2" s="1483"/>
      <c r="C2" s="1483"/>
      <c r="D2" s="1221"/>
      <c r="E2" s="1221"/>
      <c r="F2" s="1221"/>
      <c r="G2" s="1495"/>
    </row>
    <row r="3" spans="1:10" ht="13.5" thickBot="1" x14ac:dyDescent="0.25">
      <c r="A3" s="132"/>
      <c r="B3" s="1221"/>
      <c r="C3" s="1221"/>
      <c r="D3" s="1221"/>
      <c r="E3" s="1850"/>
      <c r="F3" s="1838" t="s">
        <v>349</v>
      </c>
      <c r="G3" s="1851" t="s">
        <v>350</v>
      </c>
    </row>
    <row r="4" spans="1:10" ht="13.5" thickBot="1" x14ac:dyDescent="0.25">
      <c r="A4" s="2095" t="s">
        <v>149</v>
      </c>
      <c r="B4" s="2096"/>
      <c r="C4" s="2096"/>
      <c r="D4" s="2096"/>
      <c r="E4" s="2096"/>
      <c r="F4" s="2097"/>
      <c r="G4" s="304"/>
    </row>
    <row r="5" spans="1:10" x14ac:dyDescent="0.2">
      <c r="A5" s="336" t="s">
        <v>292</v>
      </c>
      <c r="B5" s="1839"/>
      <c r="C5" s="1839"/>
      <c r="D5" s="1839"/>
      <c r="E5" s="1852">
        <v>1</v>
      </c>
      <c r="F5" s="1029">
        <f>SUM('5.a.sz. melléklet'!C70)</f>
        <v>90217000</v>
      </c>
      <c r="G5" s="1029">
        <f>SUM('5.a.sz. melléklet'!C71)</f>
        <v>90217000</v>
      </c>
    </row>
    <row r="6" spans="1:10" x14ac:dyDescent="0.2">
      <c r="A6" s="336" t="s">
        <v>179</v>
      </c>
      <c r="B6" s="1839"/>
      <c r="C6" s="1839"/>
      <c r="D6" s="1839"/>
      <c r="E6" s="205">
        <v>2</v>
      </c>
      <c r="F6" s="1029">
        <f>SUM('5.a.sz. melléklet'!D70)</f>
        <v>682291000</v>
      </c>
      <c r="G6" s="1029">
        <f>SUM('5.a.sz. melléklet'!D71)</f>
        <v>657291000</v>
      </c>
    </row>
    <row r="7" spans="1:10" x14ac:dyDescent="0.2">
      <c r="A7" s="336" t="s">
        <v>26</v>
      </c>
      <c r="B7" s="1839"/>
      <c r="C7" s="1839"/>
      <c r="D7" s="1839"/>
      <c r="E7" s="205">
        <v>3</v>
      </c>
      <c r="F7" s="1029">
        <f>SUM('5.a.sz. melléklet'!E70)</f>
        <v>134971058</v>
      </c>
      <c r="G7" s="196">
        <f>'5. sz.melléklet'!D15+'5. sz.melléklet'!D16+'5. sz.melléklet'!D17+'5. sz.melléklet'!D18+'5. sz.melléklet'!D19+'5. sz.melléklet'!D20</f>
        <v>136755752</v>
      </c>
    </row>
    <row r="8" spans="1:10" x14ac:dyDescent="0.2">
      <c r="A8" s="336" t="s">
        <v>295</v>
      </c>
      <c r="B8" s="1839"/>
      <c r="C8" s="1839"/>
      <c r="D8" s="1839"/>
      <c r="E8" s="205">
        <v>4</v>
      </c>
      <c r="F8" s="1029">
        <f>SUM('5.a.sz. melléklet'!F70)</f>
        <v>44736000</v>
      </c>
      <c r="G8" s="196">
        <f>SUM('5.a.sz. melléklet'!F71)</f>
        <v>44736000</v>
      </c>
      <c r="I8" s="55"/>
      <c r="J8" s="55"/>
    </row>
    <row r="9" spans="1:10" x14ac:dyDescent="0.2">
      <c r="A9" s="199" t="s">
        <v>8</v>
      </c>
      <c r="B9" s="200"/>
      <c r="C9" s="200"/>
      <c r="D9" s="200"/>
      <c r="E9" s="1847" t="s">
        <v>70</v>
      </c>
      <c r="F9" s="1030">
        <f>SUM(F5:F8)</f>
        <v>952215058</v>
      </c>
      <c r="G9" s="1840">
        <f>SUM(G5:G8)</f>
        <v>928999752</v>
      </c>
      <c r="I9" s="195"/>
    </row>
    <row r="10" spans="1:10" x14ac:dyDescent="0.2">
      <c r="A10" s="336"/>
      <c r="B10" s="1839"/>
      <c r="C10" s="1839"/>
      <c r="D10" s="1839"/>
      <c r="E10" s="205"/>
      <c r="F10" s="1029"/>
      <c r="G10" s="196"/>
    </row>
    <row r="11" spans="1:10" x14ac:dyDescent="0.2">
      <c r="A11" s="336" t="s">
        <v>9</v>
      </c>
      <c r="B11" s="1839"/>
      <c r="C11" s="1839"/>
      <c r="D11" s="1839"/>
      <c r="E11" s="205">
        <v>6</v>
      </c>
      <c r="F11" s="1029">
        <f>SUM('6. sz.melléklet'!C104)</f>
        <v>54310000</v>
      </c>
      <c r="G11" s="196">
        <f>'1.sz. melléklet'!C18</f>
        <v>55268400</v>
      </c>
    </row>
    <row r="12" spans="1:10" x14ac:dyDescent="0.2">
      <c r="A12" s="336" t="s">
        <v>303</v>
      </c>
      <c r="B12" s="1839"/>
      <c r="C12" s="1839"/>
      <c r="D12" s="1839"/>
      <c r="E12" s="205">
        <v>7</v>
      </c>
      <c r="F12" s="1029">
        <f>SUM('6. sz.melléklet'!D104)</f>
        <v>10589000</v>
      </c>
      <c r="G12" s="196">
        <f>'1.sz. melléklet'!C19</f>
        <v>10757000</v>
      </c>
    </row>
    <row r="13" spans="1:10" x14ac:dyDescent="0.2">
      <c r="A13" s="198" t="s">
        <v>69</v>
      </c>
      <c r="B13" s="1839"/>
      <c r="C13" s="1839"/>
      <c r="D13" s="1839"/>
      <c r="E13" s="205">
        <v>8</v>
      </c>
      <c r="F13" s="1029">
        <f>SUM('6. sz.melléklet'!E104)</f>
        <v>215300483</v>
      </c>
      <c r="G13" s="196">
        <f>'1.sz. melléklet'!C20</f>
        <v>295166501</v>
      </c>
    </row>
    <row r="14" spans="1:10" x14ac:dyDescent="0.2">
      <c r="A14" s="336" t="s">
        <v>222</v>
      </c>
      <c r="B14" s="1839"/>
      <c r="C14" s="1839"/>
      <c r="D14" s="1839"/>
      <c r="E14" s="205">
        <v>10</v>
      </c>
      <c r="F14" s="1029">
        <f>SUM('6. sz.melléklet'!F104)</f>
        <v>23896000</v>
      </c>
      <c r="G14" s="196">
        <f>'1.sz. melléklet'!C21</f>
        <v>23896000</v>
      </c>
    </row>
    <row r="15" spans="1:10" x14ac:dyDescent="0.2">
      <c r="A15" s="336" t="s">
        <v>223</v>
      </c>
      <c r="B15" s="1839"/>
      <c r="C15" s="1839"/>
      <c r="D15" s="1839"/>
      <c r="E15" s="205">
        <v>11</v>
      </c>
      <c r="F15" s="1029">
        <f>SUM('6. sz.melléklet'!I104)</f>
        <v>142159607</v>
      </c>
      <c r="G15" s="196">
        <f>'1.sz. melléklet'!C22</f>
        <v>142159607</v>
      </c>
    </row>
    <row r="16" spans="1:10" x14ac:dyDescent="0.2">
      <c r="A16" s="199" t="s">
        <v>10</v>
      </c>
      <c r="B16" s="200"/>
      <c r="C16" s="200"/>
      <c r="D16" s="200"/>
      <c r="E16" s="1853" t="s">
        <v>72</v>
      </c>
      <c r="F16" s="1030">
        <f>SUM(F11:F15)</f>
        <v>446255090</v>
      </c>
      <c r="G16" s="1840">
        <f>SUM(G11:G15)</f>
        <v>527247508</v>
      </c>
    </row>
    <row r="17" spans="1:9" ht="5.25" customHeight="1" x14ac:dyDescent="0.2">
      <c r="A17" s="204"/>
      <c r="B17" s="1841"/>
      <c r="C17" s="1841"/>
      <c r="D17" s="1841"/>
      <c r="E17" s="1854"/>
      <c r="F17" s="1031"/>
      <c r="G17" s="197"/>
    </row>
    <row r="18" spans="1:9" x14ac:dyDescent="0.2">
      <c r="A18" s="204" t="s">
        <v>136</v>
      </c>
      <c r="B18" s="1841"/>
      <c r="C18" s="1841"/>
      <c r="D18" s="1841"/>
      <c r="E18" s="1854"/>
      <c r="F18" s="1031">
        <f>F9-F16</f>
        <v>505959968</v>
      </c>
      <c r="G18" s="1842">
        <f>G9-G16</f>
        <v>401752244</v>
      </c>
    </row>
    <row r="19" spans="1:9" ht="3.75" customHeight="1" thickBot="1" x14ac:dyDescent="0.25">
      <c r="A19" s="336"/>
      <c r="B19" s="1839"/>
      <c r="C19" s="1839"/>
      <c r="D19" s="1839"/>
      <c r="E19" s="205"/>
      <c r="F19" s="196"/>
      <c r="G19" s="304"/>
    </row>
    <row r="20" spans="1:9" ht="13.5" thickBot="1" x14ac:dyDescent="0.25">
      <c r="A20" s="2092" t="s">
        <v>148</v>
      </c>
      <c r="B20" s="2093"/>
      <c r="C20" s="2093"/>
      <c r="D20" s="2093"/>
      <c r="E20" s="2093"/>
      <c r="F20" s="2094"/>
      <c r="G20" s="1843"/>
    </row>
    <row r="21" spans="1:9" x14ac:dyDescent="0.2">
      <c r="A21" s="336" t="s">
        <v>11</v>
      </c>
      <c r="B21" s="1839"/>
      <c r="C21" s="1839"/>
      <c r="D21" s="1839"/>
      <c r="E21" s="1852">
        <v>13</v>
      </c>
      <c r="F21" s="1029">
        <f>SUM('5.a.sz. melléklet'!I70)</f>
        <v>196528000</v>
      </c>
      <c r="G21" s="196">
        <f>'1.sz. melléklet'!C9</f>
        <v>196528000</v>
      </c>
      <c r="H21" s="51"/>
      <c r="I21" s="51"/>
    </row>
    <row r="22" spans="1:9" x14ac:dyDescent="0.2">
      <c r="A22" s="336" t="s">
        <v>27</v>
      </c>
      <c r="B22" s="1839"/>
      <c r="C22" s="1839"/>
      <c r="D22" s="1839"/>
      <c r="E22" s="205">
        <v>14</v>
      </c>
      <c r="F22" s="1029"/>
      <c r="G22" s="196"/>
    </row>
    <row r="23" spans="1:9" x14ac:dyDescent="0.2">
      <c r="A23" s="336" t="s">
        <v>31</v>
      </c>
      <c r="B23" s="1839"/>
      <c r="C23" s="1839"/>
      <c r="D23" s="1839"/>
      <c r="E23" s="205">
        <v>15</v>
      </c>
      <c r="F23" s="1029"/>
      <c r="G23" s="196"/>
    </row>
    <row r="24" spans="1:9" x14ac:dyDescent="0.2">
      <c r="A24" s="336" t="s">
        <v>171</v>
      </c>
      <c r="B24" s="1839"/>
      <c r="C24" s="1839"/>
      <c r="D24" s="1839"/>
      <c r="E24" s="205">
        <v>16</v>
      </c>
      <c r="F24" s="1029">
        <f>SUM('5.a.sz. melléklet'!G70)</f>
        <v>174678258.55555555</v>
      </c>
      <c r="G24" s="1029">
        <f>SUM('5.a.sz. melléklet'!G71)</f>
        <v>174678258.55555555</v>
      </c>
    </row>
    <row r="25" spans="1:9" ht="26.25" customHeight="1" x14ac:dyDescent="0.2">
      <c r="A25" s="336" t="s">
        <v>12</v>
      </c>
      <c r="B25" s="1839"/>
      <c r="C25" s="1839"/>
      <c r="D25" s="1839"/>
      <c r="E25" s="205">
        <v>17</v>
      </c>
      <c r="F25" s="1029"/>
      <c r="G25" s="1844"/>
      <c r="H25" s="268"/>
      <c r="I25" s="268"/>
    </row>
    <row r="26" spans="1:9" x14ac:dyDescent="0.2">
      <c r="A26" s="336" t="s">
        <v>86</v>
      </c>
      <c r="B26" s="1839"/>
      <c r="C26" s="1839"/>
      <c r="D26" s="1839"/>
      <c r="E26" s="205">
        <v>18</v>
      </c>
      <c r="F26" s="1029"/>
      <c r="G26" s="196"/>
    </row>
    <row r="27" spans="1:9" x14ac:dyDescent="0.2">
      <c r="A27" s="336" t="s">
        <v>87</v>
      </c>
      <c r="B27" s="1839"/>
      <c r="C27" s="1839"/>
      <c r="D27" s="1839"/>
      <c r="E27" s="205">
        <v>19</v>
      </c>
      <c r="F27" s="1029"/>
      <c r="G27" s="196"/>
    </row>
    <row r="28" spans="1:9" x14ac:dyDescent="0.2">
      <c r="A28" s="199" t="s">
        <v>13</v>
      </c>
      <c r="B28" s="200"/>
      <c r="C28" s="200"/>
      <c r="D28" s="200"/>
      <c r="E28" s="1853" t="s">
        <v>88</v>
      </c>
      <c r="F28" s="1030">
        <f>SUM(F21:F27)</f>
        <v>371206258.55555558</v>
      </c>
      <c r="G28" s="1840">
        <f>SUM(G21:G27)</f>
        <v>371206258.55555558</v>
      </c>
    </row>
    <row r="29" spans="1:9" x14ac:dyDescent="0.2">
      <c r="A29" s="204"/>
      <c r="B29" s="1841"/>
      <c r="C29" s="1841"/>
      <c r="D29" s="1841"/>
      <c r="E29" s="1855"/>
      <c r="F29" s="1031"/>
      <c r="G29" s="197"/>
    </row>
    <row r="30" spans="1:9" x14ac:dyDescent="0.2">
      <c r="A30" s="336" t="s">
        <v>14</v>
      </c>
      <c r="B30" s="1839"/>
      <c r="C30" s="1839"/>
      <c r="D30" s="1839"/>
      <c r="E30" s="205">
        <v>21</v>
      </c>
      <c r="F30" s="1029">
        <f>SUM('6. sz.melléklet'!H104)</f>
        <v>743025714</v>
      </c>
      <c r="G30" s="196">
        <f>'1.sz. melléklet'!C23</f>
        <v>665935738</v>
      </c>
      <c r="I30" s="631"/>
    </row>
    <row r="31" spans="1:9" x14ac:dyDescent="0.2">
      <c r="A31" s="336" t="s">
        <v>15</v>
      </c>
      <c r="B31" s="1839"/>
      <c r="C31" s="1839"/>
      <c r="D31" s="1839"/>
      <c r="E31" s="205">
        <v>22</v>
      </c>
      <c r="F31" s="1029">
        <f>SUM('6. sz.melléklet'!G104)</f>
        <v>238086912</v>
      </c>
      <c r="G31" s="196">
        <f>'1.sz. melléklet'!C24</f>
        <v>238086912</v>
      </c>
    </row>
    <row r="32" spans="1:9" x14ac:dyDescent="0.2">
      <c r="A32" s="336" t="s">
        <v>73</v>
      </c>
      <c r="B32" s="1839"/>
      <c r="C32" s="1839"/>
      <c r="D32" s="1839"/>
      <c r="E32" s="205">
        <v>23</v>
      </c>
      <c r="F32" s="1029"/>
      <c r="G32" s="196"/>
    </row>
    <row r="33" spans="1:7" x14ac:dyDescent="0.2">
      <c r="A33" s="336" t="s">
        <v>152</v>
      </c>
      <c r="B33" s="1839"/>
      <c r="C33" s="1839"/>
      <c r="D33" s="1839"/>
      <c r="E33" s="205">
        <v>24</v>
      </c>
      <c r="F33" s="1029"/>
      <c r="G33" s="196"/>
    </row>
    <row r="34" spans="1:7" x14ac:dyDescent="0.2">
      <c r="A34" s="336" t="s">
        <v>172</v>
      </c>
      <c r="B34" s="1839"/>
      <c r="C34" s="1839"/>
      <c r="D34" s="1839"/>
      <c r="E34" s="205">
        <v>25</v>
      </c>
      <c r="F34" s="1029">
        <f>SUM('6. sz.melléklet'!J104)</f>
        <v>23080050</v>
      </c>
      <c r="G34" s="196">
        <f>'1.sz. melléklet'!C25</f>
        <v>23080050</v>
      </c>
    </row>
    <row r="35" spans="1:7" x14ac:dyDescent="0.2">
      <c r="A35" s="199" t="s">
        <v>16</v>
      </c>
      <c r="B35" s="200"/>
      <c r="C35" s="200"/>
      <c r="D35" s="200"/>
      <c r="E35" s="1847" t="s">
        <v>153</v>
      </c>
      <c r="F35" s="1030">
        <f>SUM(F30:F34)</f>
        <v>1004192676</v>
      </c>
      <c r="G35" s="1840">
        <f>SUM(G30:G34)</f>
        <v>927102700</v>
      </c>
    </row>
    <row r="36" spans="1:7" x14ac:dyDescent="0.2">
      <c r="A36" s="204"/>
      <c r="B36" s="1841"/>
      <c r="C36" s="1841"/>
      <c r="D36" s="1841"/>
      <c r="E36" s="1855"/>
      <c r="F36" s="1031"/>
      <c r="G36" s="197"/>
    </row>
    <row r="37" spans="1:7" ht="14.25" customHeight="1" thickBot="1" x14ac:dyDescent="0.25">
      <c r="A37" s="199" t="s">
        <v>170</v>
      </c>
      <c r="B37" s="200"/>
      <c r="C37" s="200"/>
      <c r="D37" s="200"/>
      <c r="E37" s="1847"/>
      <c r="F37" s="1030">
        <f>F28-F35</f>
        <v>-632986417.44444442</v>
      </c>
      <c r="G37" s="1845">
        <f>G28-G35</f>
        <v>-555896441.44444442</v>
      </c>
    </row>
    <row r="38" spans="1:7" ht="13.5" thickBot="1" x14ac:dyDescent="0.25">
      <c r="A38" s="204"/>
      <c r="B38" s="1841"/>
      <c r="C38" s="1841"/>
      <c r="D38" s="1841"/>
      <c r="E38" s="1855"/>
      <c r="F38" s="197"/>
      <c r="G38" s="308"/>
    </row>
    <row r="39" spans="1:7" ht="17.25" customHeight="1" thickBot="1" x14ac:dyDescent="0.25">
      <c r="A39" s="2092" t="s">
        <v>147</v>
      </c>
      <c r="B39" s="2093"/>
      <c r="C39" s="2093"/>
      <c r="D39" s="2093"/>
      <c r="E39" s="2093"/>
      <c r="F39" s="2094"/>
      <c r="G39" s="1856"/>
    </row>
    <row r="40" spans="1:7" x14ac:dyDescent="0.2">
      <c r="A40" s="204"/>
      <c r="B40" s="1841"/>
      <c r="C40" s="1841"/>
      <c r="D40" s="1841"/>
      <c r="E40" s="1857"/>
      <c r="F40" s="197"/>
      <c r="G40" s="309"/>
    </row>
    <row r="41" spans="1:7" ht="21" customHeight="1" x14ac:dyDescent="0.2">
      <c r="A41" s="199" t="s">
        <v>84</v>
      </c>
      <c r="B41" s="200"/>
      <c r="C41" s="200"/>
      <c r="D41" s="200"/>
      <c r="E41" s="1847">
        <v>26</v>
      </c>
      <c r="F41" s="1030">
        <f>SUM('5.a.sz. melléklet'!K70)</f>
        <v>300000000</v>
      </c>
      <c r="G41" s="1840">
        <f>SUM('5.a.sz. melléklet'!K71)</f>
        <v>393178204</v>
      </c>
    </row>
    <row r="42" spans="1:7" x14ac:dyDescent="0.2">
      <c r="A42" s="204"/>
      <c r="B42" s="1841"/>
      <c r="C42" s="1841"/>
      <c r="D42" s="1841"/>
      <c r="E42" s="1855"/>
      <c r="F42" s="1031"/>
      <c r="G42" s="197"/>
    </row>
    <row r="43" spans="1:7" x14ac:dyDescent="0.2">
      <c r="A43" s="337" t="s">
        <v>388</v>
      </c>
      <c r="B43" s="1839"/>
      <c r="C43" s="1839"/>
      <c r="D43" s="1839"/>
      <c r="E43" s="205">
        <v>27</v>
      </c>
      <c r="F43" s="1029">
        <f>SUM('6. sz.melléklet'!M102)</f>
        <v>0</v>
      </c>
      <c r="G43" s="196">
        <f>SUM('6. sz.melléklet'!M103)</f>
        <v>65995335</v>
      </c>
    </row>
    <row r="44" spans="1:7" x14ac:dyDescent="0.2">
      <c r="A44" s="337" t="s">
        <v>397</v>
      </c>
      <c r="B44" s="1839"/>
      <c r="C44" s="1839"/>
      <c r="D44" s="1839"/>
      <c r="E44" s="205">
        <v>28</v>
      </c>
      <c r="F44" s="1029"/>
      <c r="G44" s="196">
        <f>SUM('6. sz.melléklet'!M7)</f>
        <v>0</v>
      </c>
    </row>
    <row r="45" spans="1:7" x14ac:dyDescent="0.2">
      <c r="A45" s="337" t="s">
        <v>304</v>
      </c>
      <c r="B45" s="1839"/>
      <c r="C45" s="1839"/>
      <c r="D45" s="1839"/>
      <c r="E45" s="205">
        <v>29</v>
      </c>
      <c r="F45" s="1029">
        <f>SUM('6. sz.melléklet'!M18)</f>
        <v>465919000</v>
      </c>
      <c r="G45" s="196">
        <f>'6. sz.melléklet'!M19</f>
        <v>494551005</v>
      </c>
    </row>
    <row r="46" spans="1:7" x14ac:dyDescent="0.2">
      <c r="A46" s="337" t="s">
        <v>398</v>
      </c>
      <c r="B46" s="1839"/>
      <c r="C46" s="1839"/>
      <c r="D46" s="1839"/>
      <c r="E46" s="205">
        <v>30</v>
      </c>
      <c r="F46" s="1029">
        <f>SUM('6. sz.melléklet'!M12)</f>
        <v>5398843</v>
      </c>
      <c r="G46" s="196">
        <f>SUM('6. sz.melléklet'!M13)</f>
        <v>32581712</v>
      </c>
    </row>
    <row r="47" spans="1:7" x14ac:dyDescent="0.2">
      <c r="A47" s="199" t="s">
        <v>85</v>
      </c>
      <c r="B47" s="200"/>
      <c r="C47" s="200"/>
      <c r="D47" s="200"/>
      <c r="E47" s="1847" t="s">
        <v>305</v>
      </c>
      <c r="F47" s="1030">
        <f>SUM(F43:F46)</f>
        <v>471317843</v>
      </c>
      <c r="G47" s="1840">
        <f>SUM(G43:G46)</f>
        <v>593128052</v>
      </c>
    </row>
    <row r="48" spans="1:7" x14ac:dyDescent="0.2">
      <c r="A48" s="204"/>
      <c r="B48" s="1841"/>
      <c r="C48" s="1841"/>
      <c r="D48" s="1841"/>
      <c r="E48" s="1855"/>
      <c r="F48" s="1031">
        <f>SUM(F41-F47)</f>
        <v>-171317843</v>
      </c>
      <c r="G48" s="197">
        <f>SUM(G41-G47)</f>
        <v>-199949848</v>
      </c>
    </row>
    <row r="49" spans="1:7" x14ac:dyDescent="0.2">
      <c r="A49" s="199" t="s">
        <v>71</v>
      </c>
      <c r="B49" s="200"/>
      <c r="C49" s="200"/>
      <c r="D49" s="200"/>
      <c r="E49" s="1847"/>
      <c r="F49" s="1030"/>
      <c r="G49" s="1840"/>
    </row>
    <row r="50" spans="1:7" x14ac:dyDescent="0.2">
      <c r="A50" s="199" t="s">
        <v>402</v>
      </c>
      <c r="B50" s="200"/>
      <c r="C50" s="200"/>
      <c r="D50" s="200"/>
      <c r="E50" s="1847"/>
      <c r="F50" s="1030"/>
      <c r="G50" s="1840"/>
    </row>
    <row r="51" spans="1:7" x14ac:dyDescent="0.2">
      <c r="A51" s="199" t="s">
        <v>137</v>
      </c>
      <c r="B51" s="200"/>
      <c r="C51" s="200"/>
      <c r="D51" s="200"/>
      <c r="E51" s="1847"/>
      <c r="F51" s="1030"/>
      <c r="G51" s="1840"/>
    </row>
    <row r="52" spans="1:7" x14ac:dyDescent="0.2">
      <c r="A52" s="204"/>
      <c r="B52" s="1841"/>
      <c r="C52" s="1841"/>
      <c r="D52" s="1841"/>
      <c r="E52" s="1855"/>
      <c r="F52" s="1031"/>
      <c r="G52" s="197"/>
    </row>
    <row r="53" spans="1:7" x14ac:dyDescent="0.2">
      <c r="A53" s="338" t="s">
        <v>17</v>
      </c>
      <c r="B53" s="339"/>
      <c r="C53" s="339"/>
      <c r="D53" s="339"/>
      <c r="E53" s="1858" t="s">
        <v>306</v>
      </c>
      <c r="F53" s="1032">
        <f>F9+F28+F41</f>
        <v>1623421316.5555556</v>
      </c>
      <c r="G53" s="1846">
        <f>G9+G28+G41</f>
        <v>1693384214.5555556</v>
      </c>
    </row>
    <row r="54" spans="1:7" x14ac:dyDescent="0.2">
      <c r="A54" s="199" t="s">
        <v>18</v>
      </c>
      <c r="B54" s="200"/>
      <c r="C54" s="200"/>
      <c r="D54" s="200"/>
      <c r="E54" s="1847" t="s">
        <v>307</v>
      </c>
      <c r="F54" s="1030">
        <f>F16+F35+F47</f>
        <v>1921765609</v>
      </c>
      <c r="G54" s="1840">
        <f>G16+G35+G47</f>
        <v>2047478260</v>
      </c>
    </row>
    <row r="55" spans="1:7" x14ac:dyDescent="0.2">
      <c r="A55" s="336"/>
      <c r="B55" s="1839"/>
      <c r="C55" s="1839"/>
      <c r="D55" s="1839"/>
      <c r="E55" s="205"/>
      <c r="F55" s="1029"/>
      <c r="G55" s="196"/>
    </row>
    <row r="56" spans="1:7" x14ac:dyDescent="0.2">
      <c r="A56" s="199" t="s">
        <v>486</v>
      </c>
      <c r="B56" s="200"/>
      <c r="C56" s="200"/>
      <c r="D56" s="200"/>
      <c r="E56" s="1847" t="s">
        <v>308</v>
      </c>
      <c r="F56" s="1033">
        <f>F53-F54</f>
        <v>-298344292.44444442</v>
      </c>
      <c r="G56" s="1847">
        <f>SUM(G54-G53)</f>
        <v>354094045.44444442</v>
      </c>
    </row>
    <row r="57" spans="1:7" x14ac:dyDescent="0.2">
      <c r="A57" s="201" t="s">
        <v>154</v>
      </c>
      <c r="B57" s="202"/>
      <c r="C57" s="202"/>
      <c r="D57" s="202"/>
      <c r="E57" s="1848"/>
      <c r="F57" s="1034"/>
      <c r="G57" s="1848"/>
    </row>
    <row r="58" spans="1:7" x14ac:dyDescent="0.2">
      <c r="A58" s="201" t="s">
        <v>446</v>
      </c>
      <c r="B58" s="203"/>
      <c r="C58" s="203"/>
      <c r="D58" s="203"/>
      <c r="E58" s="1859"/>
      <c r="F58" s="1034">
        <v>283516347</v>
      </c>
      <c r="G58" s="1848">
        <v>283516347</v>
      </c>
    </row>
    <row r="59" spans="1:7" x14ac:dyDescent="0.2">
      <c r="A59" s="204" t="s">
        <v>399</v>
      </c>
      <c r="B59" s="1839"/>
      <c r="C59" s="1839"/>
      <c r="D59" s="1839"/>
      <c r="E59" s="205"/>
      <c r="F59" s="1019">
        <v>283516347</v>
      </c>
      <c r="G59" s="205">
        <v>283516347</v>
      </c>
    </row>
    <row r="60" spans="1:7" x14ac:dyDescent="0.2">
      <c r="A60" s="204" t="s">
        <v>400</v>
      </c>
      <c r="B60" s="1839"/>
      <c r="C60" s="1839"/>
      <c r="D60" s="1839"/>
      <c r="E60" s="205"/>
      <c r="F60" s="1019"/>
      <c r="G60" s="205"/>
    </row>
    <row r="61" spans="1:7" ht="13.5" thickBot="1" x14ac:dyDescent="0.25">
      <c r="A61" s="206" t="s">
        <v>401</v>
      </c>
      <c r="B61" s="207"/>
      <c r="C61" s="207"/>
      <c r="D61" s="207"/>
      <c r="E61" s="1849"/>
      <c r="F61" s="1035"/>
      <c r="G61" s="1849"/>
    </row>
    <row r="62" spans="1:7" ht="13.5" thickBot="1" x14ac:dyDescent="0.25">
      <c r="A62" s="206" t="s">
        <v>401</v>
      </c>
      <c r="B62" s="207"/>
      <c r="C62" s="207"/>
      <c r="D62" s="207"/>
      <c r="E62" s="1860"/>
      <c r="F62" s="1035"/>
      <c r="G62" s="1850"/>
    </row>
    <row r="63" spans="1:7" x14ac:dyDescent="0.2">
      <c r="F63" s="51"/>
    </row>
    <row r="64" spans="1:7" x14ac:dyDescent="0.2">
      <c r="F64" s="51"/>
    </row>
    <row r="65" spans="6:6" x14ac:dyDescent="0.2">
      <c r="F65" s="51"/>
    </row>
    <row r="66" spans="6:6" x14ac:dyDescent="0.2">
      <c r="F66" s="51"/>
    </row>
    <row r="67" spans="6:6" x14ac:dyDescent="0.2">
      <c r="F67" s="51"/>
    </row>
    <row r="68" spans="6:6" x14ac:dyDescent="0.2">
      <c r="F68" s="51"/>
    </row>
    <row r="69" spans="6:6" x14ac:dyDescent="0.2">
      <c r="F69" s="51"/>
    </row>
    <row r="70" spans="6:6" x14ac:dyDescent="0.2">
      <c r="F70" s="51"/>
    </row>
    <row r="71" spans="6:6" x14ac:dyDescent="0.2">
      <c r="F71" s="51"/>
    </row>
    <row r="72" spans="6:6" x14ac:dyDescent="0.2">
      <c r="F72" s="51"/>
    </row>
    <row r="73" spans="6:6" x14ac:dyDescent="0.2">
      <c r="F73" s="51"/>
    </row>
    <row r="74" spans="6:6" x14ac:dyDescent="0.2">
      <c r="F74" s="51"/>
    </row>
    <row r="75" spans="6:6" x14ac:dyDescent="0.2">
      <c r="F75" s="51"/>
    </row>
    <row r="76" spans="6:6" x14ac:dyDescent="0.2">
      <c r="F76" s="51"/>
    </row>
    <row r="77" spans="6:6" x14ac:dyDescent="0.2">
      <c r="F77" s="51"/>
    </row>
    <row r="78" spans="6:6" x14ac:dyDescent="0.2">
      <c r="F78" s="51"/>
    </row>
    <row r="79" spans="6:6" x14ac:dyDescent="0.2">
      <c r="F79" s="51"/>
    </row>
    <row r="80" spans="6:6" x14ac:dyDescent="0.2">
      <c r="F80" s="51"/>
    </row>
    <row r="81" spans="6:6" x14ac:dyDescent="0.2">
      <c r="F81" s="51"/>
    </row>
    <row r="82" spans="6:6" x14ac:dyDescent="0.2">
      <c r="F82" s="51"/>
    </row>
    <row r="83" spans="6:6" x14ac:dyDescent="0.2">
      <c r="F83" s="51"/>
    </row>
    <row r="84" spans="6:6" x14ac:dyDescent="0.2">
      <c r="F84" s="51"/>
    </row>
    <row r="85" spans="6:6" x14ac:dyDescent="0.2">
      <c r="F85" s="51"/>
    </row>
    <row r="86" spans="6:6" x14ac:dyDescent="0.2">
      <c r="F86" s="51"/>
    </row>
    <row r="87" spans="6:6" x14ac:dyDescent="0.2">
      <c r="F87" s="51"/>
    </row>
    <row r="88" spans="6:6" x14ac:dyDescent="0.2">
      <c r="F88" s="51"/>
    </row>
    <row r="89" spans="6:6" x14ac:dyDescent="0.2">
      <c r="F89" s="51"/>
    </row>
    <row r="90" spans="6:6" x14ac:dyDescent="0.2">
      <c r="F90" s="51"/>
    </row>
    <row r="91" spans="6:6" x14ac:dyDescent="0.2">
      <c r="F91" s="51"/>
    </row>
    <row r="92" spans="6:6" x14ac:dyDescent="0.2">
      <c r="F92" s="51"/>
    </row>
    <row r="93" spans="6:6" x14ac:dyDescent="0.2">
      <c r="F93" s="51"/>
    </row>
    <row r="94" spans="6:6" x14ac:dyDescent="0.2">
      <c r="F94" s="51"/>
    </row>
    <row r="95" spans="6:6" x14ac:dyDescent="0.2">
      <c r="F95" s="51"/>
    </row>
    <row r="96" spans="6:6" x14ac:dyDescent="0.2">
      <c r="F96" s="51"/>
    </row>
    <row r="97" spans="6:6" x14ac:dyDescent="0.2">
      <c r="F97" s="51"/>
    </row>
    <row r="98" spans="6:6" x14ac:dyDescent="0.2">
      <c r="F98" s="51"/>
    </row>
    <row r="99" spans="6:6" x14ac:dyDescent="0.2">
      <c r="F99" s="51"/>
    </row>
    <row r="100" spans="6:6" x14ac:dyDescent="0.2">
      <c r="F100" s="51"/>
    </row>
    <row r="101" spans="6:6" x14ac:dyDescent="0.2">
      <c r="F101" s="51"/>
    </row>
    <row r="102" spans="6:6" x14ac:dyDescent="0.2">
      <c r="F102" s="51"/>
    </row>
    <row r="103" spans="6:6" x14ac:dyDescent="0.2">
      <c r="F103" s="51"/>
    </row>
    <row r="104" spans="6:6" x14ac:dyDescent="0.2">
      <c r="F104" s="51"/>
    </row>
    <row r="105" spans="6:6" x14ac:dyDescent="0.2">
      <c r="F105" s="51"/>
    </row>
    <row r="106" spans="6:6" x14ac:dyDescent="0.2">
      <c r="F106" s="51"/>
    </row>
    <row r="107" spans="6:6" x14ac:dyDescent="0.2">
      <c r="F107" s="51"/>
    </row>
    <row r="108" spans="6:6" x14ac:dyDescent="0.2">
      <c r="F108" s="51"/>
    </row>
    <row r="109" spans="6:6" x14ac:dyDescent="0.2">
      <c r="F109" s="51"/>
    </row>
    <row r="110" spans="6:6" x14ac:dyDescent="0.2">
      <c r="F110" s="51"/>
    </row>
    <row r="111" spans="6:6" x14ac:dyDescent="0.2">
      <c r="F111" s="51"/>
    </row>
    <row r="112" spans="6:6" x14ac:dyDescent="0.2">
      <c r="F112" s="51"/>
    </row>
    <row r="113" spans="6:6" x14ac:dyDescent="0.2">
      <c r="F113" s="51"/>
    </row>
    <row r="114" spans="6:6" x14ac:dyDescent="0.2">
      <c r="F114" s="51"/>
    </row>
    <row r="115" spans="6:6" x14ac:dyDescent="0.2">
      <c r="F115" s="51"/>
    </row>
    <row r="116" spans="6:6" x14ac:dyDescent="0.2">
      <c r="F116" s="51"/>
    </row>
    <row r="117" spans="6:6" x14ac:dyDescent="0.2">
      <c r="F117" s="51"/>
    </row>
    <row r="118" spans="6:6" x14ac:dyDescent="0.2">
      <c r="F118" s="51"/>
    </row>
    <row r="119" spans="6:6" x14ac:dyDescent="0.2">
      <c r="F119" s="51"/>
    </row>
    <row r="120" spans="6:6" x14ac:dyDescent="0.2">
      <c r="F120" s="51"/>
    </row>
    <row r="121" spans="6:6" x14ac:dyDescent="0.2">
      <c r="F121" s="51"/>
    </row>
    <row r="122" spans="6:6" x14ac:dyDescent="0.2">
      <c r="F122" s="51"/>
    </row>
    <row r="123" spans="6:6" x14ac:dyDescent="0.2">
      <c r="F123" s="51"/>
    </row>
    <row r="124" spans="6:6" x14ac:dyDescent="0.2">
      <c r="F124" s="51"/>
    </row>
    <row r="125" spans="6:6" x14ac:dyDescent="0.2">
      <c r="F125" s="51"/>
    </row>
    <row r="126" spans="6:6" x14ac:dyDescent="0.2">
      <c r="F126" s="51"/>
    </row>
    <row r="127" spans="6:6" x14ac:dyDescent="0.2">
      <c r="F127" s="51"/>
    </row>
    <row r="128" spans="6:6" x14ac:dyDescent="0.2">
      <c r="F128" s="51"/>
    </row>
    <row r="129" spans="6:6" x14ac:dyDescent="0.2">
      <c r="F129" s="51"/>
    </row>
  </sheetData>
  <mergeCells count="4">
    <mergeCell ref="A20:F20"/>
    <mergeCell ref="A4:F4"/>
    <mergeCell ref="A39:F39"/>
    <mergeCell ref="A1:G1"/>
  </mergeCells>
  <phoneticPr fontId="3" type="noConversion"/>
  <printOptions horizontalCentered="1"/>
  <pageMargins left="0.78740157480314965" right="0.78740157480314965" top="0" bottom="0" header="0.51181102362204722" footer="0.51181102362204722"/>
  <pageSetup paperSize="9" scale="99" orientation="portrait" r:id="rId1"/>
  <headerFooter alignWithMargins="0">
    <oddHeader>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7">
    <pageSetUpPr fitToPage="1"/>
  </sheetPr>
  <dimension ref="A1:J23"/>
  <sheetViews>
    <sheetView workbookViewId="0">
      <selection activeCell="F11" sqref="F11"/>
    </sheetView>
  </sheetViews>
  <sheetFormatPr defaultRowHeight="12.75" x14ac:dyDescent="0.2"/>
  <cols>
    <col min="1" max="1" width="3.42578125" customWidth="1"/>
    <col min="6" max="6" width="11.85546875" bestFit="1" customWidth="1"/>
    <col min="7" max="7" width="11.85546875" customWidth="1"/>
    <col min="9" max="9" width="6.85546875" style="77" customWidth="1"/>
    <col min="10" max="10" width="14.140625" style="81" bestFit="1" customWidth="1"/>
  </cols>
  <sheetData>
    <row r="1" spans="1:10" ht="30" customHeight="1" x14ac:dyDescent="0.2">
      <c r="A1" s="2102" t="s">
        <v>570</v>
      </c>
      <c r="B1" s="2103"/>
      <c r="C1" s="2103"/>
      <c r="D1" s="2103"/>
      <c r="E1" s="2103"/>
      <c r="F1" s="2103"/>
      <c r="G1" s="2103"/>
      <c r="H1" s="2103"/>
      <c r="I1" s="2103"/>
      <c r="J1" s="2104"/>
    </row>
    <row r="2" spans="1:10" ht="3.75" customHeight="1" x14ac:dyDescent="0.2">
      <c r="A2" s="132"/>
      <c r="J2" s="159"/>
    </row>
    <row r="3" spans="1:10" ht="15.75" customHeight="1" x14ac:dyDescent="0.2">
      <c r="A3" s="132"/>
      <c r="J3" s="159"/>
    </row>
    <row r="4" spans="1:10" ht="0.75" customHeight="1" thickBot="1" x14ac:dyDescent="0.25">
      <c r="A4" s="132"/>
      <c r="J4" s="159"/>
    </row>
    <row r="5" spans="1:10" x14ac:dyDescent="0.2">
      <c r="A5" s="160" t="s">
        <v>165</v>
      </c>
      <c r="B5" s="161"/>
      <c r="C5" s="161"/>
      <c r="D5" s="161"/>
      <c r="E5" s="161"/>
      <c r="F5" s="208"/>
      <c r="G5" s="208"/>
      <c r="H5" s="208"/>
      <c r="I5" s="208"/>
      <c r="J5" s="209"/>
    </row>
    <row r="6" spans="1:10" ht="13.5" thickBot="1" x14ac:dyDescent="0.25">
      <c r="A6" s="162"/>
      <c r="B6" s="163"/>
      <c r="C6" s="163"/>
      <c r="D6" s="163"/>
      <c r="E6" s="163"/>
      <c r="F6" s="156"/>
      <c r="G6" s="156"/>
      <c r="H6" s="156"/>
      <c r="I6" s="156"/>
      <c r="J6" s="210"/>
    </row>
    <row r="7" spans="1:10" ht="13.5" thickBot="1" x14ac:dyDescent="0.25">
      <c r="A7" s="165"/>
      <c r="B7" s="51"/>
      <c r="C7" s="51"/>
      <c r="D7" s="51"/>
      <c r="E7" s="51"/>
      <c r="F7" s="77"/>
      <c r="G7" s="77"/>
      <c r="H7" s="77"/>
      <c r="J7" s="159"/>
    </row>
    <row r="8" spans="1:10" x14ac:dyDescent="0.2">
      <c r="A8" s="160" t="s">
        <v>83</v>
      </c>
      <c r="B8" s="161"/>
      <c r="C8" s="161"/>
      <c r="D8" s="161"/>
      <c r="E8" s="161"/>
      <c r="F8" s="208"/>
      <c r="G8" s="208"/>
      <c r="H8" s="208"/>
      <c r="I8" s="208"/>
      <c r="J8" s="209">
        <f>F10+F11+F13+F14</f>
        <v>33006123</v>
      </c>
    </row>
    <row r="9" spans="1:10" x14ac:dyDescent="0.2">
      <c r="A9" s="165"/>
      <c r="B9" s="354" t="s">
        <v>79</v>
      </c>
      <c r="C9" s="51"/>
      <c r="D9" s="51"/>
      <c r="E9" s="51"/>
      <c r="F9" s="77"/>
      <c r="G9" s="77"/>
      <c r="H9" s="77"/>
      <c r="J9" s="159"/>
    </row>
    <row r="10" spans="1:10" x14ac:dyDescent="0.2">
      <c r="A10" s="165"/>
      <c r="B10" s="51"/>
      <c r="C10" s="51" t="s">
        <v>80</v>
      </c>
      <c r="D10" s="51"/>
      <c r="E10" s="51"/>
      <c r="F10" s="212">
        <v>15993</v>
      </c>
      <c r="G10" s="77"/>
      <c r="H10" s="77"/>
      <c r="J10" s="159"/>
    </row>
    <row r="11" spans="1:10" x14ac:dyDescent="0.2">
      <c r="A11" s="165"/>
      <c r="B11" s="51"/>
      <c r="C11" s="51" t="s">
        <v>81</v>
      </c>
      <c r="D11" s="51"/>
      <c r="E11" s="51"/>
      <c r="F11" s="212">
        <v>0</v>
      </c>
      <c r="G11" s="77"/>
      <c r="H11" s="77"/>
      <c r="J11" s="159"/>
    </row>
    <row r="12" spans="1:10" x14ac:dyDescent="0.2">
      <c r="A12" s="165"/>
      <c r="B12" s="354" t="s">
        <v>82</v>
      </c>
      <c r="C12" s="51"/>
      <c r="D12" s="51"/>
      <c r="E12" s="51"/>
      <c r="F12" s="212"/>
      <c r="G12" s="77"/>
      <c r="H12" s="77"/>
      <c r="J12" s="159"/>
    </row>
    <row r="13" spans="1:10" x14ac:dyDescent="0.2">
      <c r="A13" s="165"/>
      <c r="B13" s="51"/>
      <c r="C13" s="51" t="s">
        <v>80</v>
      </c>
      <c r="D13" s="51"/>
      <c r="E13" s="51"/>
      <c r="F13" s="212">
        <v>760823</v>
      </c>
      <c r="G13" s="77"/>
      <c r="H13" s="77"/>
      <c r="J13" s="159"/>
    </row>
    <row r="14" spans="1:10" ht="13.5" thickBot="1" x14ac:dyDescent="0.25">
      <c r="A14" s="162"/>
      <c r="B14" s="163"/>
      <c r="C14" s="163" t="s">
        <v>81</v>
      </c>
      <c r="D14" s="163"/>
      <c r="E14" s="163"/>
      <c r="F14" s="213">
        <v>32229307</v>
      </c>
      <c r="G14" s="156"/>
      <c r="H14" s="156"/>
      <c r="I14" s="156"/>
      <c r="J14" s="210"/>
    </row>
    <row r="15" spans="1:10" ht="13.5" thickBot="1" x14ac:dyDescent="0.25">
      <c r="A15" s="165"/>
      <c r="B15" s="51"/>
      <c r="C15" s="51"/>
      <c r="D15" s="51"/>
      <c r="E15" s="51"/>
      <c r="F15" s="77"/>
      <c r="G15" s="77"/>
      <c r="H15" s="77"/>
      <c r="J15" s="159"/>
    </row>
    <row r="16" spans="1:10" x14ac:dyDescent="0.2">
      <c r="A16" s="160" t="s">
        <v>166</v>
      </c>
      <c r="B16" s="161"/>
      <c r="C16" s="161"/>
      <c r="D16" s="161"/>
      <c r="E16" s="161"/>
      <c r="F16" s="208"/>
      <c r="G16" s="208"/>
      <c r="H16" s="208"/>
      <c r="I16" s="208"/>
      <c r="J16" s="209">
        <f>I17</f>
        <v>0</v>
      </c>
    </row>
    <row r="17" spans="1:10" ht="13.5" thickBot="1" x14ac:dyDescent="0.25">
      <c r="A17" s="162"/>
      <c r="B17" s="163"/>
      <c r="C17" s="163"/>
      <c r="D17" s="163"/>
      <c r="E17" s="163"/>
      <c r="F17" s="156"/>
      <c r="G17" s="156"/>
      <c r="H17" s="156"/>
      <c r="I17" s="214"/>
      <c r="J17" s="210"/>
    </row>
    <row r="18" spans="1:10" ht="0.75" customHeight="1" x14ac:dyDescent="0.2">
      <c r="A18" s="165"/>
      <c r="B18" s="51"/>
      <c r="C18" s="51"/>
      <c r="D18" s="51"/>
      <c r="E18" s="51"/>
      <c r="F18" s="77"/>
      <c r="G18" s="77"/>
      <c r="H18" s="77"/>
      <c r="J18" s="159"/>
    </row>
    <row r="19" spans="1:10" ht="0.75" customHeight="1" thickBot="1" x14ac:dyDescent="0.25">
      <c r="A19" s="165"/>
      <c r="B19" s="51"/>
      <c r="C19" s="51"/>
      <c r="D19" s="51"/>
      <c r="E19" s="51"/>
      <c r="F19" s="77"/>
      <c r="G19" s="77"/>
      <c r="H19" s="77"/>
      <c r="J19" s="159"/>
    </row>
    <row r="20" spans="1:10" x14ac:dyDescent="0.2">
      <c r="A20" s="160" t="s">
        <v>167</v>
      </c>
      <c r="B20" s="167"/>
      <c r="C20" s="167"/>
      <c r="D20" s="167"/>
      <c r="E20" s="167"/>
      <c r="F20" s="211"/>
      <c r="G20" s="211"/>
      <c r="H20" s="211"/>
      <c r="I20" s="211"/>
      <c r="J20" s="209">
        <v>0</v>
      </c>
    </row>
    <row r="21" spans="1:10" ht="13.5" thickBot="1" x14ac:dyDescent="0.25">
      <c r="A21" s="162"/>
      <c r="B21" s="163"/>
      <c r="C21" s="227"/>
      <c r="D21" s="163"/>
      <c r="E21" s="163"/>
      <c r="F21" s="163"/>
      <c r="G21" s="163"/>
      <c r="H21" s="214"/>
      <c r="I21" s="163"/>
      <c r="J21" s="164"/>
    </row>
    <row r="22" spans="1:10" ht="0.75" customHeight="1" thickBot="1" x14ac:dyDescent="0.25">
      <c r="A22" s="165"/>
      <c r="B22" s="51"/>
      <c r="C22" s="51"/>
      <c r="D22" s="51"/>
      <c r="E22" s="51"/>
      <c r="F22" s="51"/>
      <c r="G22" s="51"/>
      <c r="H22" s="51"/>
      <c r="I22" s="51"/>
      <c r="J22" s="166"/>
    </row>
    <row r="23" spans="1:10" ht="26.25" customHeight="1" thickBot="1" x14ac:dyDescent="0.25">
      <c r="A23" s="2099" t="s">
        <v>89</v>
      </c>
      <c r="B23" s="2100"/>
      <c r="C23" s="2100"/>
      <c r="D23" s="2100"/>
      <c r="E23" s="2100"/>
      <c r="F23" s="2100"/>
      <c r="G23" s="2100"/>
      <c r="H23" s="2100"/>
      <c r="I23" s="2100"/>
      <c r="J23" s="2101"/>
    </row>
  </sheetData>
  <mergeCells count="2">
    <mergeCell ref="A23:J23"/>
    <mergeCell ref="A1:J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U71"/>
  <sheetViews>
    <sheetView workbookViewId="0">
      <selection activeCell="A11" sqref="A11"/>
    </sheetView>
  </sheetViews>
  <sheetFormatPr defaultRowHeight="12.75" x14ac:dyDescent="0.2"/>
  <cols>
    <col min="1" max="1" width="33.42578125" customWidth="1"/>
    <col min="2" max="8" width="11.7109375" customWidth="1"/>
    <col min="9" max="9" width="7.85546875" customWidth="1"/>
  </cols>
  <sheetData>
    <row r="1" spans="1:21" s="55" customFormat="1" ht="27.75" customHeight="1" x14ac:dyDescent="0.2">
      <c r="A1" s="2105" t="s">
        <v>571</v>
      </c>
      <c r="B1" s="2106"/>
      <c r="C1" s="2106"/>
      <c r="D1" s="2106"/>
      <c r="E1" s="2106"/>
      <c r="F1" s="2106"/>
      <c r="G1" s="2106"/>
      <c r="H1" s="2106"/>
      <c r="I1" s="2106"/>
      <c r="J1" s="2106"/>
    </row>
    <row r="2" spans="1:21" s="55" customFormat="1" ht="0.75" customHeight="1" x14ac:dyDescent="0.2">
      <c r="A2" s="52" t="s">
        <v>150</v>
      </c>
    </row>
    <row r="3" spans="1:21" ht="0.75" customHeight="1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1" ht="16.5" thickBot="1" x14ac:dyDescent="0.3">
      <c r="A4" s="215"/>
      <c r="B4" s="215"/>
      <c r="C4" s="215"/>
      <c r="D4" s="215"/>
      <c r="E4" s="215"/>
      <c r="F4" s="215"/>
      <c r="G4" s="215"/>
      <c r="H4" s="215"/>
      <c r="I4" s="215"/>
      <c r="J4" s="215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</row>
    <row r="5" spans="1:21" ht="16.5" thickBot="1" x14ac:dyDescent="0.3">
      <c r="A5" s="224" t="s">
        <v>169</v>
      </c>
      <c r="B5" s="225"/>
      <c r="C5" s="225"/>
      <c r="D5" s="225"/>
      <c r="E5" s="224"/>
      <c r="F5" s="230"/>
      <c r="G5" s="215"/>
      <c r="H5" s="215"/>
      <c r="I5" s="215"/>
      <c r="J5" s="215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</row>
    <row r="6" spans="1:21" ht="16.5" customHeight="1" thickBot="1" x14ac:dyDescent="0.3">
      <c r="A6" s="226"/>
      <c r="B6" s="226"/>
      <c r="C6" s="226"/>
      <c r="D6" s="226"/>
      <c r="E6" s="226"/>
      <c r="F6" s="229"/>
      <c r="G6" s="215"/>
      <c r="H6" s="215"/>
      <c r="I6" s="215"/>
      <c r="J6" s="215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</row>
    <row r="7" spans="1:21" ht="0.75" customHeight="1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</row>
    <row r="8" spans="1:21" s="72" customFormat="1" ht="8.25" customHeight="1" x14ac:dyDescent="0.25">
      <c r="A8" s="216"/>
      <c r="B8" s="216"/>
      <c r="C8" s="216"/>
      <c r="D8" s="216"/>
      <c r="E8" s="216"/>
      <c r="F8" s="216"/>
      <c r="G8" s="217"/>
      <c r="H8" s="217"/>
      <c r="I8" s="217"/>
      <c r="J8" s="217"/>
    </row>
    <row r="9" spans="1:21" ht="15.75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</row>
    <row r="10" spans="1:21" ht="34.5" customHeight="1" x14ac:dyDescent="0.25">
      <c r="A10" s="2107" t="s">
        <v>630</v>
      </c>
      <c r="B10" s="2108"/>
      <c r="C10" s="2108"/>
      <c r="D10" s="2108"/>
      <c r="E10" s="2108"/>
      <c r="F10" s="2108"/>
      <c r="G10" s="2108"/>
      <c r="H10" s="2108"/>
      <c r="I10" s="2108"/>
      <c r="J10" s="82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</row>
    <row r="11" spans="1:21" ht="15.75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</row>
    <row r="12" spans="1:21" ht="15.75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</row>
    <row r="13" spans="1:21" ht="15.75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ht="15.75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 x14ac:dyDescent="0.2">
      <c r="A15" s="82"/>
      <c r="B15" s="82"/>
      <c r="C15" s="82"/>
      <c r="D15" s="82"/>
      <c r="E15" s="82"/>
      <c r="F15" s="82"/>
      <c r="G15" s="82"/>
      <c r="H15" s="82"/>
      <c r="I15" s="82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</row>
    <row r="16" spans="1:2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</row>
    <row r="17" spans="1:21" x14ac:dyDescent="0.2">
      <c r="A17" s="82"/>
      <c r="B17" s="82"/>
      <c r="C17" s="82"/>
      <c r="D17" s="82"/>
      <c r="E17" s="82"/>
      <c r="F17" s="82"/>
      <c r="G17" s="82"/>
      <c r="H17" s="82"/>
      <c r="I17" s="82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</row>
    <row r="18" spans="1:21" x14ac:dyDescent="0.2">
      <c r="A18" s="82"/>
      <c r="B18" s="82"/>
      <c r="C18" s="82"/>
      <c r="D18" s="82"/>
      <c r="E18" s="82"/>
      <c r="F18" s="82"/>
      <c r="G18" s="82"/>
      <c r="H18" s="82"/>
      <c r="I18" s="82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</row>
    <row r="19" spans="1:21" x14ac:dyDescent="0.2">
      <c r="A19" s="82"/>
      <c r="B19" s="82"/>
      <c r="C19" s="82"/>
      <c r="D19" s="82"/>
      <c r="E19" s="82"/>
      <c r="F19" s="82"/>
      <c r="G19" s="82"/>
      <c r="H19" s="82"/>
      <c r="I19" s="82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</row>
    <row r="20" spans="1:21" x14ac:dyDescent="0.2">
      <c r="A20" s="195"/>
      <c r="B20" s="82"/>
      <c r="C20" s="82"/>
      <c r="D20" s="82"/>
      <c r="E20" s="82"/>
      <c r="F20" s="195"/>
      <c r="G20" s="195"/>
      <c r="H20" s="195"/>
      <c r="I20" s="195"/>
    </row>
    <row r="21" spans="1:21" x14ac:dyDescent="0.2">
      <c r="A21" s="195"/>
      <c r="B21" s="82"/>
      <c r="C21" s="82"/>
      <c r="D21" s="82"/>
      <c r="E21" s="82"/>
      <c r="F21" s="195"/>
      <c r="G21" s="195"/>
      <c r="H21" s="195"/>
      <c r="I21" s="195"/>
    </row>
    <row r="22" spans="1:21" x14ac:dyDescent="0.2">
      <c r="A22" s="195"/>
      <c r="B22" s="82"/>
      <c r="C22" s="82"/>
      <c r="D22" s="82"/>
      <c r="E22" s="82"/>
      <c r="F22" s="195"/>
      <c r="G22" s="195"/>
      <c r="H22" s="195"/>
      <c r="I22" s="195"/>
    </row>
    <row r="23" spans="1:21" x14ac:dyDescent="0.2">
      <c r="A23" s="195"/>
      <c r="B23" s="82"/>
      <c r="C23" s="82"/>
      <c r="D23" s="82"/>
      <c r="E23" s="82"/>
      <c r="F23" s="195"/>
      <c r="G23" s="195"/>
      <c r="H23" s="195"/>
      <c r="I23" s="195"/>
    </row>
    <row r="24" spans="1:21" x14ac:dyDescent="0.2">
      <c r="A24" s="195"/>
      <c r="B24" s="82"/>
      <c r="C24" s="82"/>
      <c r="D24" s="82"/>
      <c r="E24" s="82"/>
      <c r="F24" s="195"/>
      <c r="G24" s="195"/>
      <c r="H24" s="195"/>
      <c r="I24" s="195"/>
    </row>
    <row r="25" spans="1:21" x14ac:dyDescent="0.2">
      <c r="A25" s="195"/>
      <c r="B25" s="82"/>
      <c r="C25" s="82"/>
      <c r="D25" s="82"/>
      <c r="E25" s="82"/>
      <c r="F25" s="195"/>
      <c r="G25" s="195"/>
      <c r="H25" s="195"/>
      <c r="I25" s="195"/>
    </row>
    <row r="26" spans="1:21" x14ac:dyDescent="0.2">
      <c r="A26" s="195"/>
      <c r="B26" s="82"/>
      <c r="C26" s="82"/>
      <c r="D26" s="82"/>
      <c r="E26" s="82"/>
      <c r="F26" s="195"/>
      <c r="G26" s="195"/>
      <c r="H26" s="195"/>
      <c r="I26" s="195"/>
    </row>
    <row r="27" spans="1:21" x14ac:dyDescent="0.2">
      <c r="A27" s="195"/>
      <c r="B27" s="82"/>
      <c r="C27" s="82"/>
      <c r="D27" s="82"/>
      <c r="E27" s="82"/>
      <c r="F27" s="195"/>
      <c r="G27" s="195"/>
      <c r="H27" s="195"/>
      <c r="I27" s="195"/>
    </row>
    <row r="28" spans="1:21" x14ac:dyDescent="0.2">
      <c r="A28" s="195"/>
      <c r="B28" s="82"/>
      <c r="C28" s="82"/>
      <c r="D28" s="82"/>
      <c r="E28" s="82"/>
      <c r="F28" s="195"/>
      <c r="G28" s="195"/>
      <c r="H28" s="195"/>
      <c r="I28" s="195"/>
    </row>
    <row r="29" spans="1:21" x14ac:dyDescent="0.2">
      <c r="A29" s="195"/>
      <c r="B29" s="82"/>
      <c r="C29" s="195"/>
      <c r="D29" s="195"/>
      <c r="E29" s="195"/>
      <c r="F29" s="195"/>
      <c r="G29" s="195"/>
      <c r="H29" s="195"/>
      <c r="I29" s="195"/>
    </row>
    <row r="30" spans="1:21" x14ac:dyDescent="0.2">
      <c r="A30" s="195"/>
      <c r="B30" s="195"/>
      <c r="C30" s="195"/>
      <c r="D30" s="195"/>
      <c r="E30" s="195"/>
      <c r="F30" s="195"/>
      <c r="G30" s="195"/>
      <c r="H30" s="195"/>
      <c r="I30" s="195"/>
    </row>
    <row r="31" spans="1:21" x14ac:dyDescent="0.2">
      <c r="A31" s="195"/>
      <c r="B31" s="195"/>
      <c r="C31" s="195"/>
      <c r="D31" s="195"/>
      <c r="E31" s="195"/>
      <c r="F31" s="195"/>
      <c r="G31" s="195"/>
      <c r="H31" s="195"/>
      <c r="I31" s="195"/>
    </row>
    <row r="32" spans="1:21" x14ac:dyDescent="0.2">
      <c r="A32" s="195"/>
      <c r="B32" s="195"/>
      <c r="C32" s="195"/>
      <c r="D32" s="195"/>
      <c r="E32" s="195"/>
      <c r="F32" s="195"/>
      <c r="G32" s="195"/>
      <c r="H32" s="195"/>
      <c r="I32" s="195"/>
    </row>
    <row r="33" spans="1:9" x14ac:dyDescent="0.2">
      <c r="A33" s="195"/>
      <c r="B33" s="195"/>
      <c r="C33" s="195"/>
      <c r="D33" s="195"/>
      <c r="E33" s="195"/>
      <c r="F33" s="195"/>
      <c r="G33" s="195"/>
      <c r="H33" s="195"/>
      <c r="I33" s="195"/>
    </row>
    <row r="34" spans="1:9" x14ac:dyDescent="0.2">
      <c r="A34" s="195"/>
      <c r="B34" s="195"/>
      <c r="C34" s="195"/>
      <c r="D34" s="195"/>
      <c r="E34" s="195"/>
      <c r="F34" s="195"/>
      <c r="G34" s="195"/>
      <c r="H34" s="195"/>
      <c r="I34" s="195"/>
    </row>
    <row r="35" spans="1:9" x14ac:dyDescent="0.2">
      <c r="A35" s="195"/>
      <c r="B35" s="195"/>
      <c r="C35" s="195"/>
      <c r="D35" s="195"/>
      <c r="E35" s="195"/>
      <c r="F35" s="195"/>
      <c r="G35" s="195"/>
      <c r="H35" s="195"/>
      <c r="I35" s="195"/>
    </row>
    <row r="36" spans="1:9" x14ac:dyDescent="0.2">
      <c r="A36" s="195"/>
      <c r="B36" s="195"/>
      <c r="C36" s="195"/>
      <c r="D36" s="195"/>
      <c r="E36" s="195"/>
      <c r="F36" s="195"/>
      <c r="G36" s="195"/>
      <c r="H36" s="195"/>
      <c r="I36" s="195"/>
    </row>
    <row r="37" spans="1:9" x14ac:dyDescent="0.2">
      <c r="A37" s="195"/>
      <c r="B37" s="195"/>
      <c r="C37" s="195"/>
      <c r="D37" s="195"/>
      <c r="E37" s="195"/>
      <c r="F37" s="195"/>
      <c r="G37" s="195"/>
      <c r="H37" s="195"/>
      <c r="I37" s="195"/>
    </row>
    <row r="38" spans="1:9" x14ac:dyDescent="0.2">
      <c r="A38" s="195"/>
      <c r="B38" s="195"/>
      <c r="C38" s="195"/>
      <c r="D38" s="195"/>
      <c r="E38" s="195"/>
      <c r="F38" s="195"/>
      <c r="G38" s="195"/>
      <c r="H38" s="195"/>
      <c r="I38" s="195"/>
    </row>
    <row r="39" spans="1:9" x14ac:dyDescent="0.2">
      <c r="A39" s="195"/>
      <c r="B39" s="195"/>
      <c r="C39" s="195"/>
      <c r="D39" s="195"/>
      <c r="E39" s="195"/>
      <c r="F39" s="195"/>
      <c r="G39" s="195"/>
      <c r="H39" s="195"/>
      <c r="I39" s="195"/>
    </row>
    <row r="40" spans="1:9" x14ac:dyDescent="0.2">
      <c r="A40" s="195"/>
      <c r="B40" s="195"/>
      <c r="C40" s="195"/>
      <c r="D40" s="195"/>
      <c r="E40" s="195"/>
      <c r="F40" s="195"/>
      <c r="G40" s="195"/>
      <c r="H40" s="195"/>
      <c r="I40" s="195"/>
    </row>
    <row r="41" spans="1:9" x14ac:dyDescent="0.2">
      <c r="A41" s="195"/>
      <c r="B41" s="195"/>
      <c r="C41" s="195"/>
      <c r="D41" s="195"/>
      <c r="E41" s="195"/>
      <c r="F41" s="195"/>
      <c r="G41" s="195"/>
      <c r="H41" s="195"/>
      <c r="I41" s="195"/>
    </row>
    <row r="42" spans="1:9" x14ac:dyDescent="0.2">
      <c r="A42" s="195"/>
      <c r="B42" s="195"/>
      <c r="C42" s="195"/>
      <c r="D42" s="195"/>
      <c r="E42" s="195"/>
      <c r="F42" s="195"/>
      <c r="G42" s="195"/>
      <c r="H42" s="195"/>
      <c r="I42" s="195"/>
    </row>
    <row r="43" spans="1:9" x14ac:dyDescent="0.2">
      <c r="A43" s="195"/>
      <c r="B43" s="195"/>
      <c r="C43" s="195"/>
      <c r="D43" s="195"/>
      <c r="E43" s="195"/>
      <c r="F43" s="195"/>
      <c r="G43" s="195"/>
      <c r="H43" s="195"/>
      <c r="I43" s="195"/>
    </row>
    <row r="44" spans="1:9" x14ac:dyDescent="0.2">
      <c r="A44" s="195"/>
      <c r="B44" s="195"/>
      <c r="C44" s="195"/>
      <c r="D44" s="195"/>
      <c r="E44" s="195"/>
      <c r="F44" s="195"/>
      <c r="G44" s="195"/>
      <c r="H44" s="195"/>
      <c r="I44" s="195"/>
    </row>
    <row r="45" spans="1:9" x14ac:dyDescent="0.2">
      <c r="A45" s="195"/>
      <c r="B45" s="195"/>
      <c r="C45" s="195"/>
      <c r="D45" s="195"/>
      <c r="E45" s="195"/>
      <c r="F45" s="195"/>
      <c r="G45" s="195"/>
      <c r="H45" s="195"/>
      <c r="I45" s="195"/>
    </row>
    <row r="46" spans="1:9" x14ac:dyDescent="0.2">
      <c r="A46" s="195"/>
      <c r="B46" s="195"/>
      <c r="C46" s="195"/>
      <c r="D46" s="195"/>
      <c r="E46" s="195"/>
      <c r="F46" s="195"/>
      <c r="G46" s="195"/>
      <c r="H46" s="195"/>
      <c r="I46" s="195"/>
    </row>
    <row r="47" spans="1:9" x14ac:dyDescent="0.2">
      <c r="A47" s="195"/>
      <c r="B47" s="195"/>
      <c r="C47" s="195"/>
      <c r="D47" s="195"/>
      <c r="E47" s="195"/>
      <c r="F47" s="195"/>
      <c r="G47" s="195"/>
      <c r="H47" s="195"/>
      <c r="I47" s="195"/>
    </row>
    <row r="48" spans="1:9" x14ac:dyDescent="0.2">
      <c r="A48" s="195"/>
      <c r="B48" s="195"/>
      <c r="C48" s="195"/>
      <c r="D48" s="195"/>
      <c r="E48" s="195"/>
      <c r="F48" s="195"/>
      <c r="G48" s="195"/>
      <c r="H48" s="195"/>
      <c r="I48" s="195"/>
    </row>
    <row r="49" spans="1:9" x14ac:dyDescent="0.2">
      <c r="A49" s="195"/>
      <c r="B49" s="195"/>
      <c r="C49" s="195"/>
      <c r="D49" s="195"/>
      <c r="E49" s="195"/>
      <c r="F49" s="195"/>
      <c r="G49" s="195"/>
      <c r="H49" s="195"/>
      <c r="I49" s="195"/>
    </row>
    <row r="50" spans="1:9" x14ac:dyDescent="0.2">
      <c r="A50" s="195"/>
      <c r="B50" s="195"/>
      <c r="C50" s="195"/>
      <c r="D50" s="195"/>
      <c r="E50" s="195"/>
      <c r="F50" s="195"/>
      <c r="G50" s="195"/>
      <c r="H50" s="195"/>
      <c r="I50" s="195"/>
    </row>
    <row r="51" spans="1:9" x14ac:dyDescent="0.2">
      <c r="A51" s="195"/>
      <c r="B51" s="195"/>
      <c r="C51" s="195"/>
      <c r="D51" s="195"/>
      <c r="E51" s="195"/>
      <c r="F51" s="195"/>
      <c r="G51" s="195"/>
      <c r="H51" s="195"/>
      <c r="I51" s="195"/>
    </row>
    <row r="52" spans="1:9" x14ac:dyDescent="0.2">
      <c r="A52" s="195"/>
      <c r="B52" s="195"/>
      <c r="C52" s="195"/>
      <c r="D52" s="195"/>
      <c r="E52" s="195"/>
      <c r="F52" s="195"/>
      <c r="G52" s="195"/>
      <c r="H52" s="195"/>
      <c r="I52" s="195"/>
    </row>
    <row r="53" spans="1:9" x14ac:dyDescent="0.2">
      <c r="A53" s="195"/>
      <c r="B53" s="195"/>
      <c r="C53" s="195"/>
      <c r="D53" s="195"/>
      <c r="E53" s="195"/>
      <c r="F53" s="195"/>
      <c r="G53" s="195"/>
      <c r="H53" s="195"/>
      <c r="I53" s="195"/>
    </row>
    <row r="54" spans="1:9" x14ac:dyDescent="0.2">
      <c r="A54" s="195"/>
      <c r="B54" s="195"/>
      <c r="C54" s="195"/>
      <c r="D54" s="195"/>
      <c r="E54" s="195"/>
      <c r="F54" s="195"/>
      <c r="G54" s="195"/>
      <c r="H54" s="195"/>
      <c r="I54" s="195"/>
    </row>
    <row r="55" spans="1:9" x14ac:dyDescent="0.2">
      <c r="A55" s="195"/>
      <c r="B55" s="195"/>
      <c r="C55" s="195"/>
      <c r="D55" s="195"/>
      <c r="E55" s="195"/>
      <c r="F55" s="195"/>
      <c r="G55" s="195"/>
      <c r="H55" s="195"/>
      <c r="I55" s="195"/>
    </row>
    <row r="56" spans="1:9" x14ac:dyDescent="0.2">
      <c r="A56" s="195"/>
      <c r="B56" s="195"/>
      <c r="C56" s="195"/>
      <c r="D56" s="195"/>
      <c r="E56" s="195"/>
      <c r="F56" s="195"/>
      <c r="G56" s="195"/>
      <c r="H56" s="195"/>
      <c r="I56" s="195"/>
    </row>
    <row r="57" spans="1:9" x14ac:dyDescent="0.2">
      <c r="A57" s="195"/>
      <c r="B57" s="195"/>
      <c r="C57" s="195"/>
      <c r="D57" s="195"/>
      <c r="E57" s="195"/>
      <c r="F57" s="195"/>
      <c r="G57" s="195"/>
      <c r="H57" s="195"/>
      <c r="I57" s="195"/>
    </row>
    <row r="58" spans="1:9" x14ac:dyDescent="0.2">
      <c r="A58" s="195"/>
      <c r="B58" s="195"/>
      <c r="C58" s="195"/>
      <c r="D58" s="195"/>
      <c r="E58" s="195"/>
      <c r="F58" s="195"/>
      <c r="G58" s="195"/>
      <c r="H58" s="195"/>
      <c r="I58" s="195"/>
    </row>
    <row r="59" spans="1:9" x14ac:dyDescent="0.2">
      <c r="A59" s="195"/>
      <c r="B59" s="195"/>
      <c r="C59" s="195"/>
      <c r="D59" s="195"/>
      <c r="E59" s="195"/>
      <c r="F59" s="195"/>
      <c r="G59" s="195"/>
      <c r="H59" s="195"/>
      <c r="I59" s="195"/>
    </row>
    <row r="60" spans="1:9" x14ac:dyDescent="0.2">
      <c r="A60" s="195"/>
      <c r="B60" s="195"/>
      <c r="C60" s="195"/>
      <c r="D60" s="195"/>
      <c r="E60" s="195"/>
      <c r="F60" s="195"/>
      <c r="G60" s="195"/>
      <c r="H60" s="195"/>
      <c r="I60" s="195"/>
    </row>
    <row r="61" spans="1:9" x14ac:dyDescent="0.2">
      <c r="A61" s="195"/>
      <c r="B61" s="195"/>
      <c r="C61" s="195"/>
      <c r="D61" s="195"/>
      <c r="E61" s="195"/>
      <c r="F61" s="195"/>
      <c r="G61" s="195"/>
      <c r="H61" s="195"/>
      <c r="I61" s="195"/>
    </row>
    <row r="62" spans="1:9" x14ac:dyDescent="0.2">
      <c r="A62" s="195"/>
      <c r="B62" s="195"/>
      <c r="C62" s="195"/>
      <c r="D62" s="195"/>
      <c r="E62" s="195"/>
      <c r="F62" s="195"/>
      <c r="G62" s="195"/>
      <c r="H62" s="195"/>
      <c r="I62" s="195"/>
    </row>
    <row r="63" spans="1:9" x14ac:dyDescent="0.2">
      <c r="A63" s="195"/>
      <c r="B63" s="195"/>
      <c r="C63" s="195"/>
      <c r="D63" s="195"/>
      <c r="E63" s="195"/>
      <c r="F63" s="195"/>
      <c r="G63" s="195"/>
      <c r="H63" s="195"/>
      <c r="I63" s="195"/>
    </row>
    <row r="64" spans="1:9" x14ac:dyDescent="0.2">
      <c r="A64" s="195"/>
      <c r="B64" s="195"/>
      <c r="C64" s="195"/>
      <c r="D64" s="195"/>
      <c r="E64" s="195"/>
      <c r="F64" s="195"/>
      <c r="G64" s="195"/>
      <c r="H64" s="195"/>
      <c r="I64" s="195"/>
    </row>
    <row r="65" spans="1:9" x14ac:dyDescent="0.2">
      <c r="A65" s="195"/>
      <c r="B65" s="195"/>
      <c r="C65" s="195"/>
      <c r="D65" s="195"/>
      <c r="E65" s="195"/>
      <c r="F65" s="195"/>
      <c r="G65" s="195"/>
      <c r="H65" s="195"/>
      <c r="I65" s="195"/>
    </row>
    <row r="66" spans="1:9" x14ac:dyDescent="0.2">
      <c r="A66" s="195"/>
      <c r="B66" s="195"/>
      <c r="C66" s="195"/>
      <c r="D66" s="195"/>
      <c r="E66" s="195"/>
      <c r="F66" s="195"/>
      <c r="G66" s="195"/>
      <c r="H66" s="195"/>
      <c r="I66" s="195"/>
    </row>
    <row r="67" spans="1:9" x14ac:dyDescent="0.2">
      <c r="A67" s="195"/>
      <c r="B67" s="195"/>
      <c r="C67" s="195"/>
      <c r="D67" s="195"/>
      <c r="E67" s="195"/>
      <c r="F67" s="195"/>
      <c r="G67" s="195"/>
      <c r="H67" s="195"/>
      <c r="I67" s="195"/>
    </row>
    <row r="68" spans="1:9" x14ac:dyDescent="0.2">
      <c r="A68" s="195"/>
      <c r="B68" s="195"/>
      <c r="C68" s="195"/>
      <c r="D68" s="195"/>
      <c r="E68" s="195"/>
      <c r="F68" s="195"/>
      <c r="G68" s="195"/>
      <c r="H68" s="195"/>
      <c r="I68" s="195"/>
    </row>
    <row r="69" spans="1:9" x14ac:dyDescent="0.2">
      <c r="A69" s="195"/>
      <c r="B69" s="195"/>
      <c r="C69" s="195"/>
      <c r="D69" s="195"/>
      <c r="E69" s="195"/>
      <c r="F69" s="195"/>
      <c r="G69" s="195"/>
      <c r="H69" s="195"/>
      <c r="I69" s="195"/>
    </row>
    <row r="70" spans="1:9" x14ac:dyDescent="0.2">
      <c r="A70" s="195"/>
      <c r="B70" s="195"/>
      <c r="C70" s="195"/>
      <c r="D70" s="195"/>
      <c r="E70" s="195"/>
      <c r="F70" s="195"/>
      <c r="G70" s="195"/>
      <c r="H70" s="195"/>
      <c r="I70" s="195"/>
    </row>
    <row r="71" spans="1:9" x14ac:dyDescent="0.2">
      <c r="A71" s="195"/>
      <c r="B71" s="195"/>
      <c r="C71" s="195"/>
      <c r="D71" s="195"/>
      <c r="E71" s="195"/>
      <c r="F71" s="195"/>
      <c r="G71" s="195"/>
      <c r="H71" s="195"/>
      <c r="I71" s="195"/>
    </row>
  </sheetData>
  <mergeCells count="2">
    <mergeCell ref="A1:J1"/>
    <mergeCell ref="A10:I10"/>
  </mergeCells>
  <phoneticPr fontId="3" type="noConversion"/>
  <printOptions horizontalCentered="1"/>
  <pageMargins left="0.74803149606299213" right="0.74803149606299213" top="0.39370078740157483" bottom="0.39370078740157483" header="0.51181102362204722" footer="0.51181102362204722"/>
  <pageSetup paperSize="9" orientation="landscape" r:id="rId1"/>
  <headerFooter alignWithMargins="0">
    <oddHeader>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17"/>
  <sheetViews>
    <sheetView workbookViewId="0">
      <selection activeCell="I13" sqref="I13"/>
    </sheetView>
  </sheetViews>
  <sheetFormatPr defaultRowHeight="12.75" x14ac:dyDescent="0.2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0.7109375" customWidth="1"/>
    <col min="9" max="9" width="12.7109375" customWidth="1"/>
    <col min="13" max="13" width="14.85546875" customWidth="1"/>
  </cols>
  <sheetData>
    <row r="1" spans="1:11" ht="58.5" customHeight="1" x14ac:dyDescent="0.2">
      <c r="A1" s="2105" t="s">
        <v>572</v>
      </c>
      <c r="B1" s="2109"/>
      <c r="C1" s="2109"/>
      <c r="D1" s="2109"/>
      <c r="E1" s="2109"/>
      <c r="F1" s="2109"/>
      <c r="G1" s="2109"/>
      <c r="H1" s="2109"/>
      <c r="K1" s="6"/>
    </row>
    <row r="2" spans="1:11" x14ac:dyDescent="0.2">
      <c r="H2" t="s">
        <v>532</v>
      </c>
    </row>
    <row r="3" spans="1:11" ht="30" customHeight="1" x14ac:dyDescent="0.2">
      <c r="A3" s="2111" t="s">
        <v>346</v>
      </c>
      <c r="B3" s="2109"/>
      <c r="C3" s="2109"/>
      <c r="D3" s="2109"/>
      <c r="E3" s="2109"/>
      <c r="F3" s="2109"/>
      <c r="G3" s="2109"/>
      <c r="H3" s="2109"/>
    </row>
    <row r="6" spans="1:11" x14ac:dyDescent="0.2">
      <c r="A6" s="52"/>
      <c r="B6" s="52"/>
      <c r="C6" s="6"/>
      <c r="D6" s="52"/>
      <c r="E6" s="52"/>
      <c r="F6" s="52"/>
      <c r="G6" s="52"/>
      <c r="H6" s="52"/>
      <c r="I6" s="52"/>
    </row>
    <row r="7" spans="1:11" ht="38.25" customHeight="1" x14ac:dyDescent="0.2">
      <c r="A7" s="2106" t="s">
        <v>182</v>
      </c>
      <c r="B7" s="2110"/>
      <c r="C7" s="2110"/>
      <c r="D7" s="2110"/>
      <c r="E7" s="2110"/>
      <c r="F7" s="2110"/>
      <c r="G7" s="2110"/>
    </row>
    <row r="9" spans="1:11" x14ac:dyDescent="0.2">
      <c r="A9" s="52" t="s">
        <v>181</v>
      </c>
      <c r="B9" s="52"/>
      <c r="C9" s="52"/>
      <c r="D9" s="52"/>
      <c r="E9" s="52"/>
      <c r="F9" s="292">
        <f>SUM(I10:I14)</f>
        <v>853819000</v>
      </c>
    </row>
    <row r="10" spans="1:11" x14ac:dyDescent="0.2">
      <c r="A10" t="s">
        <v>507</v>
      </c>
      <c r="I10" s="631">
        <f>SUM('5. sz.melléklet'!C9+'5. sz.melléklet'!C10+'5. sz.melléklet'!C12)</f>
        <v>656891000</v>
      </c>
    </row>
    <row r="11" spans="1:11" x14ac:dyDescent="0.2">
      <c r="A11" t="s">
        <v>186</v>
      </c>
      <c r="I11" s="631"/>
    </row>
    <row r="12" spans="1:11" x14ac:dyDescent="0.2">
      <c r="A12" t="s">
        <v>183</v>
      </c>
      <c r="I12" s="631"/>
    </row>
    <row r="13" spans="1:11" x14ac:dyDescent="0.2">
      <c r="A13" t="s">
        <v>187</v>
      </c>
      <c r="I13" s="631">
        <f>SUM('5. sz.melléklet'!C44)</f>
        <v>196528000</v>
      </c>
    </row>
    <row r="14" spans="1:11" x14ac:dyDescent="0.2">
      <c r="A14" t="s">
        <v>184</v>
      </c>
      <c r="I14" s="631">
        <f>SUM('5. sz.melléklet'!C11)</f>
        <v>400000</v>
      </c>
    </row>
    <row r="15" spans="1:11" x14ac:dyDescent="0.2">
      <c r="A15" t="s">
        <v>185</v>
      </c>
    </row>
    <row r="17" spans="1:6" x14ac:dyDescent="0.2">
      <c r="A17" s="52" t="s">
        <v>201</v>
      </c>
      <c r="B17" s="52"/>
      <c r="C17" s="52"/>
      <c r="D17" s="52"/>
      <c r="E17" s="52"/>
      <c r="F17" s="292">
        <f>F9/2</f>
        <v>426909500</v>
      </c>
    </row>
  </sheetData>
  <mergeCells count="3">
    <mergeCell ref="A1:H1"/>
    <mergeCell ref="A7:G7"/>
    <mergeCell ref="A3:H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K27"/>
  <sheetViews>
    <sheetView workbookViewId="0">
      <selection sqref="A1:K27"/>
    </sheetView>
  </sheetViews>
  <sheetFormatPr defaultRowHeight="12.75" x14ac:dyDescent="0.2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.85546875" customWidth="1"/>
    <col min="9" max="11" width="12.7109375" bestFit="1" customWidth="1"/>
    <col min="13" max="13" width="14.85546875" customWidth="1"/>
  </cols>
  <sheetData>
    <row r="1" spans="1:11" ht="58.5" customHeight="1" x14ac:dyDescent="0.2">
      <c r="A1" s="2105" t="s">
        <v>323</v>
      </c>
      <c r="B1" s="2109"/>
      <c r="C1" s="2109"/>
      <c r="D1" s="2109"/>
      <c r="E1" s="2109"/>
      <c r="F1" s="2109"/>
      <c r="G1" s="2109"/>
      <c r="H1" s="2109"/>
    </row>
    <row r="4" spans="1:11" x14ac:dyDescent="0.2">
      <c r="A4" s="276" t="s">
        <v>324</v>
      </c>
      <c r="B4" s="272"/>
      <c r="C4" s="272"/>
      <c r="D4" s="272"/>
      <c r="E4" s="272"/>
      <c r="F4" s="272"/>
      <c r="G4" s="236"/>
    </row>
    <row r="5" spans="1:11" x14ac:dyDescent="0.2">
      <c r="A5" s="274"/>
      <c r="B5" s="52"/>
      <c r="E5" s="451" t="s">
        <v>489</v>
      </c>
      <c r="F5" s="451" t="s">
        <v>514</v>
      </c>
      <c r="G5" s="452" t="s">
        <v>629</v>
      </c>
    </row>
    <row r="6" spans="1:11" x14ac:dyDescent="0.2">
      <c r="A6" s="277" t="s">
        <v>325</v>
      </c>
      <c r="B6" s="52"/>
      <c r="E6">
        <v>0</v>
      </c>
      <c r="F6" s="218">
        <v>0</v>
      </c>
      <c r="G6" s="238">
        <v>0</v>
      </c>
    </row>
    <row r="7" spans="1:11" x14ac:dyDescent="0.2">
      <c r="A7" s="273" t="s">
        <v>326</v>
      </c>
      <c r="E7">
        <v>0</v>
      </c>
      <c r="F7" s="195">
        <v>0</v>
      </c>
      <c r="G7" s="238">
        <v>0</v>
      </c>
    </row>
    <row r="8" spans="1:11" x14ac:dyDescent="0.2">
      <c r="A8" s="273" t="s">
        <v>327</v>
      </c>
      <c r="E8">
        <v>0</v>
      </c>
      <c r="F8" s="195">
        <v>0</v>
      </c>
      <c r="G8" s="238">
        <v>0</v>
      </c>
    </row>
    <row r="9" spans="1:11" x14ac:dyDescent="0.2">
      <c r="A9" s="273" t="s">
        <v>331</v>
      </c>
      <c r="E9">
        <v>0</v>
      </c>
      <c r="F9">
        <v>0</v>
      </c>
      <c r="G9" s="238">
        <v>0</v>
      </c>
    </row>
    <row r="10" spans="1:11" x14ac:dyDescent="0.2">
      <c r="A10" s="273" t="s">
        <v>328</v>
      </c>
      <c r="E10">
        <v>0</v>
      </c>
      <c r="F10">
        <v>0</v>
      </c>
      <c r="G10" s="238">
        <v>0</v>
      </c>
    </row>
    <row r="11" spans="1:11" x14ac:dyDescent="0.2">
      <c r="A11" s="273" t="s">
        <v>330</v>
      </c>
      <c r="E11">
        <v>0</v>
      </c>
      <c r="F11">
        <v>0</v>
      </c>
      <c r="G11" s="238">
        <v>0</v>
      </c>
    </row>
    <row r="12" spans="1:11" x14ac:dyDescent="0.2">
      <c r="A12" s="278" t="s">
        <v>329</v>
      </c>
      <c r="B12" s="228"/>
      <c r="C12" s="228"/>
      <c r="D12" s="228"/>
      <c r="E12" s="228"/>
      <c r="F12" s="228"/>
      <c r="G12" s="243"/>
      <c r="H12" s="52"/>
      <c r="I12" s="52"/>
    </row>
    <row r="13" spans="1:11" x14ac:dyDescent="0.2">
      <c r="A13" s="52"/>
      <c r="B13" s="52"/>
      <c r="C13" s="52"/>
      <c r="D13" s="52"/>
      <c r="E13" s="52"/>
      <c r="F13" s="52"/>
      <c r="G13" s="52"/>
      <c r="H13" s="52"/>
      <c r="I13" s="52"/>
    </row>
    <row r="14" spans="1:11" ht="38.25" customHeight="1" x14ac:dyDescent="0.2">
      <c r="A14" s="2112" t="s">
        <v>182</v>
      </c>
      <c r="B14" s="2113"/>
      <c r="C14" s="2113"/>
      <c r="D14" s="2113"/>
      <c r="E14" s="2113"/>
      <c r="F14" s="2113"/>
      <c r="G14" s="2113"/>
      <c r="H14" s="272"/>
      <c r="I14" s="272"/>
      <c r="J14" s="272"/>
      <c r="K14" s="236"/>
    </row>
    <row r="15" spans="1:11" x14ac:dyDescent="0.2">
      <c r="A15" s="273"/>
      <c r="I15" s="451" t="s">
        <v>489</v>
      </c>
      <c r="J15" s="451" t="s">
        <v>514</v>
      </c>
      <c r="K15" s="452" t="s">
        <v>629</v>
      </c>
    </row>
    <row r="16" spans="1:11" x14ac:dyDescent="0.2">
      <c r="A16" s="274" t="s">
        <v>181</v>
      </c>
      <c r="B16" s="52"/>
      <c r="C16" s="52"/>
      <c r="D16" s="52"/>
      <c r="E16" s="52"/>
      <c r="F16" s="52"/>
      <c r="K16" s="238"/>
    </row>
    <row r="17" spans="1:11" x14ac:dyDescent="0.2">
      <c r="A17" s="273" t="s">
        <v>511</v>
      </c>
      <c r="I17" s="631">
        <v>675000000</v>
      </c>
      <c r="J17" s="631">
        <v>675000000</v>
      </c>
      <c r="K17" s="1036">
        <v>675000000</v>
      </c>
    </row>
    <row r="18" spans="1:11" x14ac:dyDescent="0.2">
      <c r="A18" s="273" t="s">
        <v>186</v>
      </c>
      <c r="I18" s="631"/>
      <c r="J18" s="631"/>
      <c r="K18" s="1036"/>
    </row>
    <row r="19" spans="1:11" x14ac:dyDescent="0.2">
      <c r="A19" s="273" t="s">
        <v>183</v>
      </c>
      <c r="I19" s="631"/>
      <c r="J19" s="631"/>
      <c r="K19" s="1036"/>
    </row>
    <row r="20" spans="1:11" x14ac:dyDescent="0.2">
      <c r="A20" s="273" t="s">
        <v>187</v>
      </c>
      <c r="I20" s="631">
        <v>20000000</v>
      </c>
      <c r="J20" s="631">
        <v>10000000</v>
      </c>
      <c r="K20" s="1036">
        <v>10000000</v>
      </c>
    </row>
    <row r="21" spans="1:11" x14ac:dyDescent="0.2">
      <c r="A21" s="273" t="s">
        <v>184</v>
      </c>
      <c r="I21" s="631">
        <v>400000</v>
      </c>
      <c r="J21" s="631">
        <v>400000</v>
      </c>
      <c r="K21" s="1036">
        <v>400000</v>
      </c>
    </row>
    <row r="22" spans="1:11" x14ac:dyDescent="0.2">
      <c r="A22" s="273" t="s">
        <v>512</v>
      </c>
      <c r="I22" s="631"/>
      <c r="J22" s="631"/>
      <c r="K22" s="1036"/>
    </row>
    <row r="23" spans="1:11" x14ac:dyDescent="0.2">
      <c r="A23" s="273"/>
      <c r="I23" s="631"/>
      <c r="J23" s="631"/>
      <c r="K23" s="1036"/>
    </row>
    <row r="24" spans="1:11" x14ac:dyDescent="0.2">
      <c r="A24" s="274" t="s">
        <v>201</v>
      </c>
      <c r="B24" s="52"/>
      <c r="C24" s="52"/>
      <c r="D24" s="52"/>
      <c r="E24" s="52"/>
      <c r="F24" s="52"/>
      <c r="I24" s="292">
        <f>SUM(I17:I22)/2</f>
        <v>347700000</v>
      </c>
      <c r="J24" s="292">
        <f>SUM(J17:J22)/2</f>
        <v>342700000</v>
      </c>
      <c r="K24" s="1037">
        <f>SUM(K17:K22)/2</f>
        <v>342700000</v>
      </c>
    </row>
    <row r="25" spans="1:11" x14ac:dyDescent="0.2">
      <c r="A25" s="275"/>
      <c r="B25" s="8"/>
      <c r="C25" s="8"/>
      <c r="D25" s="8"/>
      <c r="E25" s="8"/>
      <c r="F25" s="8"/>
      <c r="G25" s="8"/>
      <c r="H25" s="8"/>
      <c r="I25" s="1038"/>
      <c r="J25" s="1038"/>
      <c r="K25" s="1039"/>
    </row>
    <row r="26" spans="1:11" x14ac:dyDescent="0.2">
      <c r="I26" s="631"/>
      <c r="J26" s="631"/>
      <c r="K26" s="631"/>
    </row>
    <row r="27" spans="1:11" x14ac:dyDescent="0.2">
      <c r="I27" s="631">
        <f>SUM(I17:I21)</f>
        <v>695400000</v>
      </c>
      <c r="J27" s="631">
        <f>SUM(J17:J21)</f>
        <v>685400000</v>
      </c>
      <c r="K27" s="631">
        <f>SUM(K17:K21)</f>
        <v>685400000</v>
      </c>
    </row>
  </sheetData>
  <mergeCells count="2">
    <mergeCell ref="A1:H1"/>
    <mergeCell ref="A14:G1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>
    <pageSetUpPr fitToPage="1"/>
  </sheetPr>
  <dimension ref="A2:G32"/>
  <sheetViews>
    <sheetView workbookViewId="0">
      <selection activeCell="G30" sqref="G30"/>
    </sheetView>
  </sheetViews>
  <sheetFormatPr defaultRowHeight="12.75" x14ac:dyDescent="0.2"/>
  <cols>
    <col min="1" max="1" width="34.85546875" style="52" customWidth="1"/>
    <col min="2" max="2" width="8" customWidth="1"/>
    <col min="3" max="3" width="10.85546875" customWidth="1"/>
    <col min="4" max="4" width="8.28515625" customWidth="1"/>
    <col min="6" max="6" width="16.140625" customWidth="1"/>
    <col min="7" max="7" width="9" customWidth="1"/>
  </cols>
  <sheetData>
    <row r="2" spans="1:7" s="10" customFormat="1" ht="33" customHeight="1" x14ac:dyDescent="0.25">
      <c r="A2" s="2031" t="s">
        <v>573</v>
      </c>
      <c r="B2" s="2032"/>
      <c r="C2" s="2032"/>
      <c r="D2" s="2032"/>
      <c r="E2" s="2032"/>
      <c r="F2" s="2032"/>
      <c r="G2" s="2032"/>
    </row>
    <row r="3" spans="1:7" ht="0.75" customHeight="1" x14ac:dyDescent="0.25">
      <c r="A3" s="30" t="s">
        <v>151</v>
      </c>
      <c r="B3" s="30"/>
      <c r="C3" s="30"/>
      <c r="D3" s="30"/>
      <c r="E3" s="30"/>
      <c r="F3" s="30"/>
      <c r="G3" s="30"/>
    </row>
    <row r="4" spans="1:7" s="52" customFormat="1" ht="0.75" customHeight="1" x14ac:dyDescent="0.2">
      <c r="A4"/>
      <c r="B4"/>
      <c r="C4"/>
      <c r="D4"/>
      <c r="E4"/>
      <c r="F4"/>
      <c r="G4"/>
    </row>
    <row r="5" spans="1:7" ht="0.75" customHeight="1" thickBot="1" x14ac:dyDescent="0.25">
      <c r="A5"/>
      <c r="B5" s="52"/>
      <c r="C5" s="52"/>
      <c r="G5" s="52"/>
    </row>
    <row r="6" spans="1:7" ht="15" hidden="1" customHeight="1" thickBot="1" x14ac:dyDescent="0.25">
      <c r="A6"/>
      <c r="B6" s="52"/>
      <c r="C6" s="52"/>
      <c r="G6" s="52"/>
    </row>
    <row r="7" spans="1:7" ht="27.75" customHeight="1" thickBot="1" x14ac:dyDescent="0.25">
      <c r="A7" s="234"/>
      <c r="B7" s="355" t="s">
        <v>21</v>
      </c>
      <c r="C7" s="355" t="s">
        <v>61</v>
      </c>
      <c r="D7" s="2114" t="s">
        <v>62</v>
      </c>
      <c r="E7" s="2115"/>
      <c r="F7" s="356" t="s">
        <v>114</v>
      </c>
      <c r="G7" s="306" t="s">
        <v>115</v>
      </c>
    </row>
    <row r="8" spans="1:7" ht="15" customHeight="1" thickBot="1" x14ac:dyDescent="0.25">
      <c r="A8" s="123"/>
      <c r="B8" s="247"/>
      <c r="C8" s="121" t="s">
        <v>23</v>
      </c>
      <c r="D8" s="353" t="s">
        <v>23</v>
      </c>
      <c r="E8" s="353" t="s">
        <v>24</v>
      </c>
      <c r="F8" s="122" t="s">
        <v>23</v>
      </c>
      <c r="G8" s="117"/>
    </row>
    <row r="9" spans="1:7" ht="6" customHeight="1" x14ac:dyDescent="0.2">
      <c r="A9" s="65"/>
      <c r="B9" s="228"/>
      <c r="C9" s="228"/>
      <c r="D9" s="112"/>
      <c r="E9" s="112"/>
      <c r="F9" s="113"/>
      <c r="G9" s="357"/>
    </row>
    <row r="10" spans="1:7" ht="15" customHeight="1" x14ac:dyDescent="0.2">
      <c r="A10" s="114" t="s">
        <v>112</v>
      </c>
      <c r="B10" s="358">
        <f>SUM(B11:B14)</f>
        <v>8</v>
      </c>
      <c r="C10" s="285"/>
      <c r="D10" s="115"/>
      <c r="E10" s="115"/>
      <c r="F10" s="119"/>
      <c r="G10" s="357"/>
    </row>
    <row r="11" spans="1:7" ht="15" customHeight="1" x14ac:dyDescent="0.2">
      <c r="A11" s="65" t="s">
        <v>138</v>
      </c>
      <c r="B11" s="359">
        <f>SUM(C11:F11)</f>
        <v>2</v>
      </c>
      <c r="C11" s="359"/>
      <c r="D11" s="116">
        <v>2</v>
      </c>
      <c r="E11" s="116"/>
      <c r="F11" s="119"/>
      <c r="G11" s="360"/>
    </row>
    <row r="12" spans="1:7" ht="15" customHeight="1" x14ac:dyDescent="0.2">
      <c r="A12" s="65" t="s">
        <v>68</v>
      </c>
      <c r="B12" s="359">
        <v>4</v>
      </c>
      <c r="C12" s="359"/>
      <c r="D12" s="116">
        <v>4</v>
      </c>
      <c r="E12" s="116"/>
      <c r="F12" s="119"/>
      <c r="G12" s="360"/>
    </row>
    <row r="13" spans="1:7" ht="15" customHeight="1" x14ac:dyDescent="0.2">
      <c r="A13" s="11" t="s">
        <v>450</v>
      </c>
      <c r="B13" s="11">
        <v>1</v>
      </c>
      <c r="C13" s="12"/>
      <c r="D13" s="115"/>
      <c r="E13" s="115"/>
      <c r="F13" s="467">
        <v>1</v>
      </c>
      <c r="G13" s="363"/>
    </row>
    <row r="14" spans="1:7" ht="15" customHeight="1" x14ac:dyDescent="0.2">
      <c r="A14" s="11" t="s">
        <v>451</v>
      </c>
      <c r="B14" s="11">
        <v>1</v>
      </c>
      <c r="C14" s="12"/>
      <c r="D14" s="115"/>
      <c r="E14" s="115"/>
      <c r="F14" s="467">
        <v>1</v>
      </c>
      <c r="G14" s="364"/>
    </row>
    <row r="15" spans="1:7" ht="15" customHeight="1" x14ac:dyDescent="0.2">
      <c r="A15" s="12"/>
      <c r="B15" s="285"/>
      <c r="C15" s="285"/>
      <c r="D15" s="115"/>
      <c r="E15" s="115"/>
      <c r="F15" s="468"/>
      <c r="G15" s="364"/>
    </row>
    <row r="16" spans="1:7" ht="15" customHeight="1" x14ac:dyDescent="0.25">
      <c r="A16" s="69" t="s">
        <v>30</v>
      </c>
      <c r="B16" s="361">
        <f>SUM(B17:B19)</f>
        <v>17</v>
      </c>
      <c r="C16" s="359"/>
      <c r="D16" s="13"/>
      <c r="E16" s="12"/>
      <c r="F16" s="59"/>
      <c r="G16" s="360"/>
    </row>
    <row r="17" spans="1:7" ht="15" customHeight="1" x14ac:dyDescent="0.2">
      <c r="A17" s="53" t="s">
        <v>59</v>
      </c>
      <c r="B17" s="359">
        <v>14</v>
      </c>
      <c r="C17" s="359"/>
      <c r="D17" s="13"/>
      <c r="E17" s="13"/>
      <c r="F17" s="59">
        <v>14</v>
      </c>
      <c r="G17" s="360"/>
    </row>
    <row r="18" spans="1:7" ht="15" customHeight="1" x14ac:dyDescent="0.2">
      <c r="A18" s="53" t="s">
        <v>63</v>
      </c>
      <c r="B18" s="359">
        <f>SUM(C18:F18)</f>
        <v>1</v>
      </c>
      <c r="C18" s="359"/>
      <c r="D18" s="13"/>
      <c r="E18" s="13"/>
      <c r="F18" s="59">
        <v>1</v>
      </c>
      <c r="G18" s="360"/>
    </row>
    <row r="19" spans="1:7" ht="12" customHeight="1" x14ac:dyDescent="0.2">
      <c r="A19" s="12" t="s">
        <v>299</v>
      </c>
      <c r="B19" s="285">
        <v>2</v>
      </c>
      <c r="C19" s="285">
        <v>2</v>
      </c>
      <c r="D19" s="8"/>
      <c r="E19" s="8"/>
      <c r="F19" s="66"/>
      <c r="G19" s="360"/>
    </row>
    <row r="20" spans="1:7" ht="3" customHeight="1" x14ac:dyDescent="0.2">
      <c r="A20" s="65" t="s">
        <v>60</v>
      </c>
      <c r="B20" s="228"/>
      <c r="C20" s="228"/>
      <c r="D20" s="8"/>
      <c r="E20" s="8"/>
      <c r="F20" s="66"/>
      <c r="G20" s="360"/>
    </row>
    <row r="21" spans="1:7" ht="6" customHeight="1" x14ac:dyDescent="0.2">
      <c r="A21" s="61"/>
      <c r="B21" s="362"/>
      <c r="C21" s="362"/>
      <c r="D21" s="9"/>
      <c r="E21" s="9"/>
      <c r="F21" s="66"/>
      <c r="G21" s="363"/>
    </row>
    <row r="22" spans="1:7" ht="15" customHeight="1" x14ac:dyDescent="0.25">
      <c r="A22" s="69" t="s">
        <v>56</v>
      </c>
      <c r="B22" s="361">
        <f>SUM(B23)</f>
        <v>29</v>
      </c>
      <c r="C22" s="359"/>
      <c r="D22" s="13"/>
      <c r="E22" s="12"/>
      <c r="F22" s="59"/>
      <c r="G22" s="364"/>
    </row>
    <row r="23" spans="1:7" ht="15" customHeight="1" x14ac:dyDescent="0.2">
      <c r="A23" s="50" t="s">
        <v>64</v>
      </c>
      <c r="B23" s="285">
        <f>SUM(D23:E23)</f>
        <v>29</v>
      </c>
      <c r="C23" s="285"/>
      <c r="D23" s="12">
        <v>26</v>
      </c>
      <c r="E23" s="12">
        <v>3</v>
      </c>
      <c r="F23" s="59"/>
      <c r="G23" s="357"/>
    </row>
    <row r="24" spans="1:7" ht="6" customHeight="1" x14ac:dyDescent="0.2">
      <c r="A24" s="61"/>
      <c r="B24" s="362"/>
      <c r="C24" s="362"/>
      <c r="D24" s="9"/>
      <c r="E24" s="9"/>
      <c r="F24" s="66"/>
      <c r="G24" s="357"/>
    </row>
    <row r="25" spans="1:7" ht="31.5" x14ac:dyDescent="0.25">
      <c r="A25" s="70" t="s">
        <v>168</v>
      </c>
      <c r="B25" s="361">
        <f>SUM(B26:B27)</f>
        <v>8</v>
      </c>
      <c r="C25" s="359"/>
      <c r="D25" s="13"/>
      <c r="E25" s="12"/>
      <c r="F25" s="58"/>
      <c r="G25" s="360"/>
    </row>
    <row r="26" spans="1:7" x14ac:dyDescent="0.2">
      <c r="A26" s="54" t="s">
        <v>65</v>
      </c>
      <c r="B26" s="359">
        <v>5</v>
      </c>
      <c r="C26" s="359"/>
      <c r="D26" s="13">
        <v>5</v>
      </c>
      <c r="E26" s="12"/>
      <c r="F26" s="59"/>
      <c r="G26" s="360"/>
    </row>
    <row r="27" spans="1:7" x14ac:dyDescent="0.2">
      <c r="A27" s="62" t="s">
        <v>66</v>
      </c>
      <c r="B27" s="285">
        <v>3</v>
      </c>
      <c r="C27" s="63"/>
      <c r="D27" s="12">
        <v>3</v>
      </c>
      <c r="E27" s="12">
        <v>0</v>
      </c>
      <c r="F27" s="59"/>
      <c r="G27" s="118"/>
    </row>
    <row r="28" spans="1:7" ht="6" customHeight="1" x14ac:dyDescent="0.2">
      <c r="A28" s="67"/>
      <c r="B28" s="362"/>
      <c r="C28" s="64"/>
      <c r="D28" s="9"/>
      <c r="E28" s="9"/>
      <c r="F28" s="66"/>
      <c r="G28" s="118"/>
    </row>
    <row r="29" spans="1:7" ht="31.5" x14ac:dyDescent="0.25">
      <c r="A29" s="70" t="s">
        <v>113</v>
      </c>
      <c r="B29" s="361">
        <f>SUM(B30:B30)</f>
        <v>16</v>
      </c>
      <c r="C29" s="359"/>
      <c r="D29" s="13"/>
      <c r="E29" s="12"/>
      <c r="F29" s="58"/>
      <c r="G29" s="360">
        <v>6</v>
      </c>
    </row>
    <row r="30" spans="1:7" x14ac:dyDescent="0.2">
      <c r="A30" s="54" t="s">
        <v>67</v>
      </c>
      <c r="B30" s="359">
        <v>16</v>
      </c>
      <c r="C30" s="359"/>
      <c r="D30" s="13">
        <v>16</v>
      </c>
      <c r="E30" s="13"/>
      <c r="F30" s="59"/>
      <c r="G30" s="455"/>
    </row>
    <row r="31" spans="1:7" ht="6" customHeight="1" thickBot="1" x14ac:dyDescent="0.25">
      <c r="A31" s="68"/>
      <c r="B31" s="365"/>
      <c r="C31" s="365"/>
      <c r="D31" s="60"/>
      <c r="E31" s="60"/>
      <c r="F31" s="120"/>
      <c r="G31" s="366"/>
    </row>
    <row r="32" spans="1:7" ht="15" customHeight="1" thickBot="1" x14ac:dyDescent="0.25">
      <c r="A32" s="367" t="s">
        <v>7</v>
      </c>
      <c r="B32" s="368">
        <f>B16+B22+B25+B29+B10</f>
        <v>78</v>
      </c>
      <c r="C32" s="368">
        <f>SUM(C11:C31)</f>
        <v>2</v>
      </c>
      <c r="D32" s="368">
        <f>SUM(D10:D31)</f>
        <v>56</v>
      </c>
      <c r="E32" s="368">
        <f>SUM(E11:E30)</f>
        <v>3</v>
      </c>
      <c r="F32" s="240">
        <f>F17+F18+F14+F13</f>
        <v>17</v>
      </c>
      <c r="G32" s="240">
        <f>SUM(G10:G31)</f>
        <v>6</v>
      </c>
    </row>
  </sheetData>
  <mergeCells count="2">
    <mergeCell ref="D7:E7"/>
    <mergeCell ref="A2:G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r:id="rId1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1"/>
  <sheetViews>
    <sheetView tabSelected="1" zoomScaleNormal="100" workbookViewId="0">
      <selection sqref="A1:O31"/>
    </sheetView>
  </sheetViews>
  <sheetFormatPr defaultRowHeight="12.75" x14ac:dyDescent="0.2"/>
  <cols>
    <col min="1" max="1" width="39.28515625" customWidth="1"/>
    <col min="2" max="3" width="14.5703125" bestFit="1" customWidth="1"/>
    <col min="4" max="4" width="15.7109375" customWidth="1"/>
    <col min="5" max="7" width="12.7109375" bestFit="1" customWidth="1"/>
    <col min="8" max="8" width="15.7109375" customWidth="1"/>
    <col min="9" max="9" width="11.5703125" bestFit="1" customWidth="1"/>
    <col min="10" max="10" width="15.7109375" customWidth="1"/>
    <col min="11" max="11" width="11.5703125" bestFit="1" customWidth="1"/>
    <col min="12" max="13" width="11.5703125" style="1897" customWidth="1"/>
    <col min="14" max="15" width="18.28515625" style="52" bestFit="1" customWidth="1"/>
    <col min="17" max="17" width="20.85546875" customWidth="1"/>
  </cols>
  <sheetData>
    <row r="1" spans="1:15" ht="24" customHeight="1" thickBot="1" x14ac:dyDescent="0.25">
      <c r="A1" s="1986" t="s">
        <v>560</v>
      </c>
      <c r="B1" s="1987"/>
      <c r="C1" s="1987"/>
      <c r="D1" s="1987"/>
      <c r="E1" s="1987"/>
      <c r="F1" s="1987"/>
      <c r="G1" s="1987"/>
      <c r="H1" s="1987"/>
      <c r="I1" s="1987"/>
      <c r="J1" s="1987"/>
      <c r="K1" s="1987"/>
      <c r="L1" s="1987"/>
      <c r="M1" s="1987"/>
      <c r="N1" s="1987"/>
      <c r="O1" s="246"/>
    </row>
    <row r="2" spans="1:15" ht="5.25" customHeight="1" x14ac:dyDescent="0.2">
      <c r="A2" s="132"/>
      <c r="B2" s="1221"/>
      <c r="C2" s="1221"/>
      <c r="D2" s="1221"/>
      <c r="E2" s="1221"/>
      <c r="F2" s="1221"/>
      <c r="G2" s="1221"/>
      <c r="H2" s="1221"/>
      <c r="I2" s="1221"/>
      <c r="J2" s="1221"/>
      <c r="K2" s="1221"/>
      <c r="L2" s="1221"/>
      <c r="M2" s="1221"/>
      <c r="N2" s="1483"/>
      <c r="O2" s="244"/>
    </row>
    <row r="3" spans="1:15" ht="54" customHeight="1" x14ac:dyDescent="0.25">
      <c r="A3" s="1484" t="s">
        <v>464</v>
      </c>
      <c r="B3" s="1999" t="s">
        <v>117</v>
      </c>
      <c r="C3" s="2000"/>
      <c r="D3" s="1988" t="s">
        <v>119</v>
      </c>
      <c r="E3" s="2001"/>
      <c r="F3" s="1988" t="s">
        <v>120</v>
      </c>
      <c r="G3" s="2001"/>
      <c r="H3" s="2002" t="s">
        <v>638</v>
      </c>
      <c r="I3" s="2003"/>
      <c r="J3" s="1999" t="s">
        <v>118</v>
      </c>
      <c r="K3" s="2004"/>
      <c r="L3" s="2005" t="s">
        <v>653</v>
      </c>
      <c r="M3" s="2006"/>
      <c r="N3" s="1988" t="s">
        <v>340</v>
      </c>
      <c r="O3" s="1989"/>
    </row>
    <row r="4" spans="1:15" ht="32.25" customHeight="1" x14ac:dyDescent="0.25">
      <c r="A4" s="151"/>
      <c r="B4" s="124" t="s">
        <v>347</v>
      </c>
      <c r="C4" s="124" t="s">
        <v>348</v>
      </c>
      <c r="D4" s="124" t="s">
        <v>347</v>
      </c>
      <c r="E4" s="124" t="s">
        <v>348</v>
      </c>
      <c r="F4" s="124" t="s">
        <v>347</v>
      </c>
      <c r="G4" s="124" t="s">
        <v>348</v>
      </c>
      <c r="H4" s="124" t="s">
        <v>347</v>
      </c>
      <c r="I4" s="124" t="s">
        <v>348</v>
      </c>
      <c r="J4" s="124" t="s">
        <v>347</v>
      </c>
      <c r="K4" s="124" t="s">
        <v>348</v>
      </c>
      <c r="L4" s="1981" t="s">
        <v>347</v>
      </c>
      <c r="M4" s="1981" t="s">
        <v>646</v>
      </c>
      <c r="N4" s="124" t="s">
        <v>347</v>
      </c>
      <c r="O4" s="1485" t="s">
        <v>348</v>
      </c>
    </row>
    <row r="5" spans="1:15" ht="12" customHeight="1" x14ac:dyDescent="0.2">
      <c r="A5" s="396" t="s">
        <v>179</v>
      </c>
      <c r="B5" s="624">
        <f>SUM('5. sz.melléklet'!C7)</f>
        <v>682291000</v>
      </c>
      <c r="C5" s="624">
        <f>SUM('5. sz.melléklet'!D7)</f>
        <v>657291000</v>
      </c>
      <c r="D5" s="384">
        <f>SUM('13.sz.melléklet'!C30)</f>
        <v>0</v>
      </c>
      <c r="E5" s="384">
        <f>SUM('13.sz.melléklet'!C31)</f>
        <v>0</v>
      </c>
      <c r="F5" s="231"/>
      <c r="G5" s="231"/>
      <c r="H5" s="231"/>
      <c r="I5" s="290"/>
      <c r="J5" s="279"/>
      <c r="K5" s="279"/>
      <c r="L5" s="279"/>
      <c r="M5" s="279"/>
      <c r="N5" s="285">
        <f>SUM(B5+D5+F5+H5+J5)</f>
        <v>682291000</v>
      </c>
      <c r="O5" s="1486">
        <f>SUM(C5,E5,G5,I5,K5)</f>
        <v>657291000</v>
      </c>
    </row>
    <row r="6" spans="1:15" x14ac:dyDescent="0.2">
      <c r="A6" s="50" t="s">
        <v>292</v>
      </c>
      <c r="B6" s="128">
        <f>SUM('5. sz.melléklet'!C5)</f>
        <v>90217000</v>
      </c>
      <c r="C6" s="128">
        <f>SUM('5. sz.melléklet'!D5)</f>
        <v>90217000</v>
      </c>
      <c r="D6" s="128">
        <f>SUM('13.sz.melléklet'!D30)</f>
        <v>10180000</v>
      </c>
      <c r="E6" s="128">
        <f>SUM('13.sz.melléklet'!D31)</f>
        <v>10180000</v>
      </c>
      <c r="F6" s="128">
        <f>SUM('14.sz.melléklet'!C36)</f>
        <v>4158000</v>
      </c>
      <c r="G6" s="128">
        <f>SUM('14.sz.melléklet'!C37)</f>
        <v>4158000</v>
      </c>
      <c r="H6" s="128">
        <f>SUM('15.sz.melléklet'!C30)</f>
        <v>6835000</v>
      </c>
      <c r="I6" s="280">
        <f>SUM('15.sz.melléklet'!C31)</f>
        <v>6835000</v>
      </c>
      <c r="J6" s="280">
        <f>SUM('16.sz. melléklet'!C33)</f>
        <v>481000</v>
      </c>
      <c r="K6" s="280">
        <f>'16.sz. melléklet'!C34</f>
        <v>481000</v>
      </c>
      <c r="L6" s="280"/>
      <c r="M6" s="280"/>
      <c r="N6" s="286">
        <f>SUM(B6+D6+F6+H6+J6)</f>
        <v>111871000</v>
      </c>
      <c r="O6" s="1487">
        <f>SUM(C6,E6,G6,I6,K6)</f>
        <v>111871000</v>
      </c>
    </row>
    <row r="7" spans="1:15" x14ac:dyDescent="0.2">
      <c r="A7" s="50" t="s">
        <v>293</v>
      </c>
      <c r="B7" s="128">
        <f>SUM('5. sz.melléklet'!C15+'5. sz.melléklet'!C16+'5. sz.melléklet'!C17+'5. sz.melléklet'!C18+'5. sz.melléklet'!C19+'5. sz.melléklet'!C20+'5. sz.melléklet'!C24+'5. sz.melléklet'!C25+'5. sz.melléklet'!C26+'5. sz.melléklet'!C27+'5. sz.melléklet'!C28)+'5.a.sz. melléklet'!F10</f>
        <v>171707058</v>
      </c>
      <c r="C7" s="128">
        <f>SUM('5. sz.melléklet'!D15+'5. sz.melléklet'!D16+'5. sz.melléklet'!D17+'5. sz.melléklet'!D18+'5. sz.melléklet'!D19+'5. sz.melléklet'!D20+'5. sz.melléklet'!D24+'5. sz.melléklet'!D25+'5. sz.melléklet'!D26+'5. sz.melléklet'!D27+'5. sz.melléklet'!D28)+'5.a.sz. melléklet'!F11</f>
        <v>173491752</v>
      </c>
      <c r="D7" s="1153"/>
      <c r="E7" s="393">
        <f>SUM('13.sz.melléklet'!F25)</f>
        <v>0</v>
      </c>
      <c r="F7" s="1153"/>
      <c r="G7" s="1153"/>
      <c r="H7" s="1153"/>
      <c r="I7" s="281"/>
      <c r="J7" s="281"/>
      <c r="K7" s="281"/>
      <c r="L7" s="281"/>
      <c r="M7" s="281"/>
      <c r="N7" s="286">
        <f t="shared" ref="N7:N12" si="0">SUM(B7,D7,F7,H7,J7)</f>
        <v>171707058</v>
      </c>
      <c r="O7" s="1487">
        <f>SUM(C7,E7,G7,I7,K7)</f>
        <v>173491752</v>
      </c>
    </row>
    <row r="8" spans="1:15" x14ac:dyDescent="0.2">
      <c r="A8" s="50" t="s">
        <v>294</v>
      </c>
      <c r="B8" s="128">
        <f>'5. sz.melléklet'!C29+'5. sz.melléklet'!C31+'5. sz.melléklet'!C33</f>
        <v>158290848</v>
      </c>
      <c r="C8" s="128">
        <f>'5. sz.melléklet'!D29+'5. sz.melléklet'!D31+'5. sz.melléklet'!D33</f>
        <v>158290848</v>
      </c>
      <c r="D8" s="128"/>
      <c r="E8" s="128"/>
      <c r="F8" s="128"/>
      <c r="G8" s="128"/>
      <c r="H8" s="128"/>
      <c r="I8" s="280"/>
      <c r="J8" s="280"/>
      <c r="K8" s="280"/>
      <c r="L8" s="280"/>
      <c r="M8" s="280"/>
      <c r="N8" s="286">
        <f t="shared" si="0"/>
        <v>158290848</v>
      </c>
      <c r="O8" s="1487">
        <f>SUM(C8,E8,G8,I8,K8)</f>
        <v>158290848</v>
      </c>
    </row>
    <row r="9" spans="1:15" x14ac:dyDescent="0.2">
      <c r="A9" s="50" t="s">
        <v>100</v>
      </c>
      <c r="B9" s="128">
        <f>SUM('5. sz.melléklet'!C44)</f>
        <v>196528000</v>
      </c>
      <c r="C9" s="128">
        <f>SUM('5. sz.melléklet'!D44)</f>
        <v>196528000</v>
      </c>
      <c r="D9" s="128"/>
      <c r="E9" s="128"/>
      <c r="F9" s="128"/>
      <c r="G9" s="128"/>
      <c r="H9" s="128"/>
      <c r="I9" s="280"/>
      <c r="J9" s="280"/>
      <c r="K9" s="280"/>
      <c r="L9" s="280"/>
      <c r="M9" s="280"/>
      <c r="N9" s="286">
        <f t="shared" si="0"/>
        <v>196528000</v>
      </c>
      <c r="O9" s="1487">
        <f>SUM(C9,E9,G9,I9,K9)</f>
        <v>196528000</v>
      </c>
    </row>
    <row r="10" spans="1:15" x14ac:dyDescent="0.2">
      <c r="A10" s="1488" t="s">
        <v>295</v>
      </c>
      <c r="B10" s="128">
        <f>'5. sz.melléklet'!C32+'5. sz.melléklet'!C34</f>
        <v>22990990</v>
      </c>
      <c r="C10" s="128">
        <f>'5. sz.melléklet'!D32+'5. sz.melléklet'!D34</f>
        <v>22990990</v>
      </c>
      <c r="D10" s="128">
        <f>SUM('13.sz.melléklet'!F30)</f>
        <v>0</v>
      </c>
      <c r="E10" s="128"/>
      <c r="F10" s="128">
        <f>SUM('14.sz.melléklet'!D36)</f>
        <v>0</v>
      </c>
      <c r="G10" s="128"/>
      <c r="H10" s="128">
        <f>SUM('15.sz.melléklet'!E30)</f>
        <v>1300000</v>
      </c>
      <c r="I10" s="280">
        <f>'15.sz.melléklet'!E25</f>
        <v>1300000</v>
      </c>
      <c r="J10" s="280">
        <f>SUM('16.sz. melléklet'!E33)</f>
        <v>0</v>
      </c>
      <c r="K10" s="280"/>
      <c r="L10" s="280"/>
      <c r="M10" s="280"/>
      <c r="N10" s="286">
        <f t="shared" si="0"/>
        <v>24290990</v>
      </c>
      <c r="O10" s="1487">
        <f>C10+E10+G10+I10+K10</f>
        <v>24290990</v>
      </c>
    </row>
    <row r="11" spans="1:15" x14ac:dyDescent="0.2">
      <c r="A11" s="50" t="s">
        <v>216</v>
      </c>
      <c r="B11" s="128">
        <f>SUM('5. sz.melléklet'!C35)</f>
        <v>1396420.5555555555</v>
      </c>
      <c r="C11" s="128">
        <f>SUM('5. sz.melléklet'!D35)</f>
        <v>1396420.5555555555</v>
      </c>
      <c r="D11" s="128"/>
      <c r="E11" s="128"/>
      <c r="F11" s="128"/>
      <c r="G11" s="128"/>
      <c r="H11" s="128"/>
      <c r="I11" s="280"/>
      <c r="J11" s="280"/>
      <c r="K11" s="280"/>
      <c r="L11" s="280"/>
      <c r="M11" s="280"/>
      <c r="N11" s="286">
        <f t="shared" si="0"/>
        <v>1396420.5555555555</v>
      </c>
      <c r="O11" s="1487">
        <f>SUM(C11,E11,G11,I11,K11)</f>
        <v>1396420.5555555555</v>
      </c>
    </row>
    <row r="12" spans="1:15" ht="13.5" thickBot="1" x14ac:dyDescent="0.25">
      <c r="A12" s="233" t="s">
        <v>296</v>
      </c>
      <c r="B12" s="129">
        <f>SUM('5. sz.melléklet'!C50)</f>
        <v>679000000</v>
      </c>
      <c r="C12" s="129">
        <f>SUM('5. sz.melléklet'!D50)</f>
        <v>772178204</v>
      </c>
      <c r="D12" s="128">
        <f>SUM('13.sz.melléklet'!E30)</f>
        <v>139902000</v>
      </c>
      <c r="E12" s="128">
        <f>'13.sz.melléklet'!E28</f>
        <v>147407191</v>
      </c>
      <c r="F12" s="128">
        <f>SUM('14.sz.melléklet'!E36)</f>
        <v>185830000</v>
      </c>
      <c r="G12" s="128">
        <f>'14.sz.melléklet'!E25</f>
        <v>196382200</v>
      </c>
      <c r="H12" s="128">
        <f>SUM('15.sz.melléklet'!D30)</f>
        <v>61764000</v>
      </c>
      <c r="I12" s="280">
        <f>'15.sz.melléklet'!D22</f>
        <v>65110800</v>
      </c>
      <c r="J12" s="280">
        <f>SUM('16.sz. melléklet'!D33)</f>
        <v>78423000</v>
      </c>
      <c r="K12" s="296">
        <f>'16.sz. melléklet'!D28</f>
        <v>82141400</v>
      </c>
      <c r="L12" s="296"/>
      <c r="M12" s="296">
        <f>'21.sz.melléklet'!G16</f>
        <v>3509414</v>
      </c>
      <c r="N12" s="287">
        <f t="shared" si="0"/>
        <v>1144919000</v>
      </c>
      <c r="O12" s="1489">
        <f>SUM(C12,E12,G12,I12,K12)+M12</f>
        <v>1266729209</v>
      </c>
    </row>
    <row r="13" spans="1:15" ht="13.5" thickBot="1" x14ac:dyDescent="0.25">
      <c r="A13" s="234" t="s">
        <v>139</v>
      </c>
      <c r="B13" s="130">
        <f t="shared" ref="B13:E13" si="1">SUM(B5:B12)</f>
        <v>2002421316.5555556</v>
      </c>
      <c r="C13" s="130">
        <f>SUM(C5:C12)</f>
        <v>2072384214.5555556</v>
      </c>
      <c r="D13" s="130">
        <f t="shared" si="1"/>
        <v>150082000</v>
      </c>
      <c r="E13" s="130">
        <f t="shared" si="1"/>
        <v>157587191</v>
      </c>
      <c r="F13" s="130">
        <f>SUM(F6:F12)</f>
        <v>189988000</v>
      </c>
      <c r="G13" s="130">
        <f>SUM(G5:G12)</f>
        <v>200540200</v>
      </c>
      <c r="H13" s="130">
        <f>SUM(H6:H12)</f>
        <v>69899000</v>
      </c>
      <c r="I13" s="282">
        <f>SUM(I5:I12)</f>
        <v>73245800</v>
      </c>
      <c r="J13" s="282">
        <f>SUM(J6:J12)</f>
        <v>78904000</v>
      </c>
      <c r="K13" s="291">
        <f>SUM(K5:K12)</f>
        <v>82622400</v>
      </c>
      <c r="L13" s="291"/>
      <c r="M13" s="291"/>
      <c r="N13" s="996">
        <f>SUM(N5:N12)</f>
        <v>2491294316.5555553</v>
      </c>
      <c r="O13" s="1490">
        <f>SUM(O5:O12)</f>
        <v>2589889219.5555553</v>
      </c>
    </row>
    <row r="14" spans="1:15" ht="13.5" thickBot="1" x14ac:dyDescent="0.25">
      <c r="A14" s="132"/>
      <c r="B14" s="1372"/>
      <c r="C14" s="1372"/>
      <c r="D14" s="1372"/>
      <c r="E14" s="1372"/>
      <c r="F14" s="1372"/>
      <c r="G14" s="1372"/>
      <c r="H14" s="1372"/>
      <c r="I14" s="1372"/>
      <c r="J14" s="283"/>
      <c r="K14" s="1491"/>
      <c r="L14" s="1491"/>
      <c r="M14" s="1491"/>
      <c r="N14" s="294"/>
      <c r="O14" s="1492"/>
    </row>
    <row r="15" spans="1:15" ht="15.75" customHeight="1" thickBot="1" x14ac:dyDescent="0.3">
      <c r="A15" s="398" t="s">
        <v>465</v>
      </c>
      <c r="B15" s="131"/>
      <c r="C15" s="131"/>
      <c r="D15" s="131"/>
      <c r="E15" s="131"/>
      <c r="F15" s="131"/>
      <c r="G15" s="131"/>
      <c r="H15" s="131"/>
      <c r="I15" s="131"/>
      <c r="J15" s="1373"/>
      <c r="K15" s="1373"/>
      <c r="L15" s="1373"/>
      <c r="M15" s="1373"/>
      <c r="N15" s="295">
        <f>N13-D12-F12-H12-J12</f>
        <v>2025375316.5555553</v>
      </c>
      <c r="O15" s="1493">
        <f>O13-E12-G12-I12-K12-M12</f>
        <v>2095338214.5555553</v>
      </c>
    </row>
    <row r="16" spans="1:15" ht="41.25" customHeight="1" x14ac:dyDescent="0.25">
      <c r="A16" s="1494" t="s">
        <v>466</v>
      </c>
      <c r="B16" s="1990" t="s">
        <v>117</v>
      </c>
      <c r="C16" s="1991"/>
      <c r="D16" s="1992" t="s">
        <v>119</v>
      </c>
      <c r="E16" s="1993"/>
      <c r="F16" s="1992" t="s">
        <v>120</v>
      </c>
      <c r="G16" s="1993"/>
      <c r="H16" s="1994" t="s">
        <v>638</v>
      </c>
      <c r="I16" s="1995"/>
      <c r="J16" s="1990" t="s">
        <v>118</v>
      </c>
      <c r="K16" s="1996"/>
      <c r="L16" s="2005" t="s">
        <v>653</v>
      </c>
      <c r="M16" s="2006"/>
      <c r="N16" s="1997" t="s">
        <v>340</v>
      </c>
      <c r="O16" s="1998"/>
    </row>
    <row r="17" spans="1:17" ht="41.25" customHeight="1" x14ac:dyDescent="0.25">
      <c r="A17" s="1496"/>
      <c r="B17" s="124" t="s">
        <v>347</v>
      </c>
      <c r="C17" s="124" t="s">
        <v>348</v>
      </c>
      <c r="D17" s="124" t="s">
        <v>347</v>
      </c>
      <c r="E17" s="124" t="s">
        <v>348</v>
      </c>
      <c r="F17" s="124" t="s">
        <v>347</v>
      </c>
      <c r="G17" s="124" t="s">
        <v>348</v>
      </c>
      <c r="H17" s="124" t="s">
        <v>347</v>
      </c>
      <c r="I17" s="124" t="s">
        <v>348</v>
      </c>
      <c r="J17" s="124" t="s">
        <v>347</v>
      </c>
      <c r="K17" s="124" t="s">
        <v>348</v>
      </c>
      <c r="L17" s="1981" t="s">
        <v>347</v>
      </c>
      <c r="M17" s="1981" t="s">
        <v>646</v>
      </c>
      <c r="N17" s="124" t="s">
        <v>347</v>
      </c>
      <c r="O17" s="1485" t="s">
        <v>348</v>
      </c>
    </row>
    <row r="18" spans="1:17" x14ac:dyDescent="0.2">
      <c r="A18" s="50" t="s">
        <v>9</v>
      </c>
      <c r="B18" s="128">
        <f>SUM('6. sz.melléklet'!C104)</f>
        <v>54310000</v>
      </c>
      <c r="C18" s="341">
        <f>'6. sz.melléklet'!C105</f>
        <v>55268400</v>
      </c>
      <c r="D18" s="128">
        <f>SUM('13.sz.melléklet'!C16)</f>
        <v>90972000</v>
      </c>
      <c r="E18" s="128">
        <f>'13.sz.melléklet'!C17</f>
        <v>97371600</v>
      </c>
      <c r="F18" s="128">
        <f>SUM('14.sz.melléklet'!C19)</f>
        <v>113827000</v>
      </c>
      <c r="G18" s="128">
        <f>'14.sz.melléklet'!C20</f>
        <v>121105000</v>
      </c>
      <c r="H18" s="128">
        <f>SUM('15.sz.melléklet'!C16)</f>
        <v>30096000</v>
      </c>
      <c r="I18" s="280">
        <f>'15.sz.melléklet'!C17</f>
        <v>32140800</v>
      </c>
      <c r="J18" s="280">
        <f>SUM('16.sz. melléklet'!C19)</f>
        <v>51626000</v>
      </c>
      <c r="K18" s="280">
        <f>'16.sz. melléklet'!C20</f>
        <v>54790400</v>
      </c>
      <c r="L18" s="280"/>
      <c r="M18" s="280">
        <f>'21.sz.melléklet'!C8</f>
        <v>2699414</v>
      </c>
      <c r="N18" s="286">
        <f t="shared" ref="N18:N28" si="2">SUM(B18,D18,F18,H18,J18)</f>
        <v>340831000</v>
      </c>
      <c r="O18" s="1487">
        <f>SUM(C18,E18,G18,I18,K18)+M18</f>
        <v>363375614</v>
      </c>
    </row>
    <row r="19" spans="1:17" x14ac:dyDescent="0.2">
      <c r="A19" s="50" t="s">
        <v>297</v>
      </c>
      <c r="B19" s="128">
        <f>SUM('6. sz.melléklet'!D104)</f>
        <v>10589000</v>
      </c>
      <c r="C19" s="128">
        <f>'6. sz.melléklet'!D105</f>
        <v>10757000</v>
      </c>
      <c r="D19" s="128">
        <f>SUM('13.sz.melléklet'!D16)</f>
        <v>17862000</v>
      </c>
      <c r="E19" s="128">
        <f>'13.sz.melléklet'!D17</f>
        <v>18967591</v>
      </c>
      <c r="F19" s="128">
        <f>SUM('14.sz.melléklet'!D19)</f>
        <v>20909000</v>
      </c>
      <c r="G19" s="128">
        <f>'14.sz.melléklet'!D20</f>
        <v>24183200</v>
      </c>
      <c r="H19" s="128">
        <f>SUM('15.sz.melléklet'!D16)</f>
        <v>5759000</v>
      </c>
      <c r="I19" s="280">
        <f>'15.sz.melléklet'!D17</f>
        <v>6117000</v>
      </c>
      <c r="J19" s="280">
        <f>SUM('16.sz. melléklet'!D19)</f>
        <v>9234000</v>
      </c>
      <c r="K19" s="280">
        <f>'16.sz. melléklet'!D20</f>
        <v>9788000</v>
      </c>
      <c r="L19" s="280"/>
      <c r="M19" s="280">
        <f>'21.sz.melléklet'!D8</f>
        <v>410000</v>
      </c>
      <c r="N19" s="286">
        <f t="shared" si="2"/>
        <v>64353000</v>
      </c>
      <c r="O19" s="1487">
        <f>SUM(C19,E19,G19,I19,K19)+M19</f>
        <v>70222791</v>
      </c>
    </row>
    <row r="20" spans="1:17" x14ac:dyDescent="0.2">
      <c r="A20" s="50" t="s">
        <v>20</v>
      </c>
      <c r="B20" s="128">
        <f>SUM('6. sz.melléklet'!E104)</f>
        <v>215300483</v>
      </c>
      <c r="C20" s="128">
        <f>'6. sz.melléklet'!E105</f>
        <v>295166501</v>
      </c>
      <c r="D20" s="128">
        <f>SUM('13.sz.melléklet'!E16)</f>
        <v>35548000</v>
      </c>
      <c r="E20" s="128">
        <f>'13.sz.melléklet'!E17</f>
        <v>35548000</v>
      </c>
      <c r="F20" s="128">
        <f>SUM('14.sz.melléklet'!E19)</f>
        <v>51589000</v>
      </c>
      <c r="G20" s="128">
        <f>'14.sz.melléklet'!E20</f>
        <v>51589000</v>
      </c>
      <c r="H20" s="128">
        <f>SUM('15.sz.melléklet'!E16)</f>
        <v>29454000</v>
      </c>
      <c r="I20" s="280">
        <f>'15.sz.melléklet'!E17</f>
        <v>29454000</v>
      </c>
      <c r="J20" s="280">
        <f>SUM('16.sz. melléklet'!E19)</f>
        <v>15124000</v>
      </c>
      <c r="K20" s="280">
        <f>'16.sz. melléklet'!E20</f>
        <v>15124000</v>
      </c>
      <c r="L20" s="280"/>
      <c r="M20" s="280">
        <f>'21.sz.melléklet'!E8</f>
        <v>400000</v>
      </c>
      <c r="N20" s="286">
        <f t="shared" si="2"/>
        <v>347015483</v>
      </c>
      <c r="O20" s="1487">
        <f>SUM(C20,E20,G20,I20,K20)+M20</f>
        <v>427281501</v>
      </c>
    </row>
    <row r="21" spans="1:17" x14ac:dyDescent="0.2">
      <c r="A21" s="50" t="s">
        <v>222</v>
      </c>
      <c r="B21" s="128">
        <f>SUM('6. sz.melléklet'!F104)</f>
        <v>23896000</v>
      </c>
      <c r="C21" s="128">
        <f>'6. sz.melléklet'!F105</f>
        <v>23896000</v>
      </c>
      <c r="D21" s="128"/>
      <c r="E21" s="128"/>
      <c r="F21" s="128"/>
      <c r="G21" s="128"/>
      <c r="H21" s="128"/>
      <c r="I21" s="280"/>
      <c r="J21" s="280"/>
      <c r="K21" s="280"/>
      <c r="L21" s="280"/>
      <c r="M21" s="280"/>
      <c r="N21" s="286">
        <f t="shared" si="2"/>
        <v>23896000</v>
      </c>
      <c r="O21" s="1487">
        <f t="shared" ref="O21:O28" si="3">SUM(C21,E21,G21,I21,K21)</f>
        <v>23896000</v>
      </c>
    </row>
    <row r="22" spans="1:17" x14ac:dyDescent="0.2">
      <c r="A22" s="50" t="s">
        <v>339</v>
      </c>
      <c r="B22" s="128">
        <f>SUM('6. sz.melléklet'!I104)</f>
        <v>142159607</v>
      </c>
      <c r="C22" s="128">
        <f>'6. sz.melléklet'!I105</f>
        <v>142159607</v>
      </c>
      <c r="D22" s="128"/>
      <c r="E22" s="128"/>
      <c r="F22" s="128"/>
      <c r="G22" s="128"/>
      <c r="H22" s="128"/>
      <c r="I22" s="280"/>
      <c r="J22" s="280"/>
      <c r="K22" s="280"/>
      <c r="L22" s="280"/>
      <c r="M22" s="280"/>
      <c r="N22" s="286">
        <f t="shared" si="2"/>
        <v>142159607</v>
      </c>
      <c r="O22" s="1487">
        <f t="shared" si="3"/>
        <v>142159607</v>
      </c>
    </row>
    <row r="23" spans="1:17" x14ac:dyDescent="0.2">
      <c r="A23" s="50" t="s">
        <v>122</v>
      </c>
      <c r="B23" s="128">
        <f>'6. sz.melléklet'!H104</f>
        <v>743025714</v>
      </c>
      <c r="C23" s="128">
        <f>'6. sz.melléklet'!H105</f>
        <v>665935738</v>
      </c>
      <c r="D23" s="128">
        <f>SUM('13.sz.melléklet'!F16)</f>
        <v>5700000</v>
      </c>
      <c r="E23" s="128">
        <f>'13.sz.melléklet'!F17</f>
        <v>5700000</v>
      </c>
      <c r="F23" s="128">
        <f>SUM('14.sz.melléklet'!F19)</f>
        <v>3663000</v>
      </c>
      <c r="G23" s="128">
        <f>SUM('14.a.sz. melléklet'!I19)</f>
        <v>3663000</v>
      </c>
      <c r="H23" s="128">
        <f>SUM('15.sz.melléklet'!F16)</f>
        <v>4590000</v>
      </c>
      <c r="I23" s="280">
        <f>'15.sz.melléklet'!F17</f>
        <v>5534000</v>
      </c>
      <c r="J23" s="280">
        <f>SUM('16.sz. melléklet'!F19)</f>
        <v>2920000</v>
      </c>
      <c r="K23" s="280">
        <f>SUM('16.a.sz. melléklet'!I12)</f>
        <v>2920000</v>
      </c>
      <c r="L23" s="280"/>
      <c r="M23" s="280"/>
      <c r="N23" s="286">
        <f t="shared" si="2"/>
        <v>759898714</v>
      </c>
      <c r="O23" s="1487">
        <f t="shared" si="3"/>
        <v>683752738</v>
      </c>
    </row>
    <row r="24" spans="1:17" x14ac:dyDescent="0.2">
      <c r="A24" s="50" t="s">
        <v>123</v>
      </c>
      <c r="B24" s="128">
        <f>SUM('6. sz.melléklet'!G104)</f>
        <v>238086912</v>
      </c>
      <c r="C24" s="128">
        <f>'6. sz.melléklet'!G105</f>
        <v>238086912</v>
      </c>
      <c r="D24" s="128">
        <f>SUM('13.sz.melléklet'!G16)</f>
        <v>0</v>
      </c>
      <c r="E24" s="128">
        <f>'13.sz.melléklet'!G17</f>
        <v>0</v>
      </c>
      <c r="F24" s="128">
        <v>0</v>
      </c>
      <c r="G24" s="128">
        <f>SUM('14.a.sz. melléklet'!E19)</f>
        <v>0</v>
      </c>
      <c r="H24" s="128">
        <v>0</v>
      </c>
      <c r="I24" s="280"/>
      <c r="J24" s="280">
        <v>0</v>
      </c>
      <c r="K24" s="280"/>
      <c r="L24" s="280"/>
      <c r="M24" s="280"/>
      <c r="N24" s="286">
        <f t="shared" si="2"/>
        <v>238086912</v>
      </c>
      <c r="O24" s="1487">
        <f t="shared" si="3"/>
        <v>238086912</v>
      </c>
    </row>
    <row r="25" spans="1:17" x14ac:dyDescent="0.2">
      <c r="A25" s="50" t="s">
        <v>332</v>
      </c>
      <c r="B25" s="128">
        <f>SUM('6. sz.melléklet'!J104)</f>
        <v>23080050</v>
      </c>
      <c r="C25" s="128">
        <f>'6. sz.melléklet'!J105</f>
        <v>23080050</v>
      </c>
      <c r="D25" s="128"/>
      <c r="E25" s="128"/>
      <c r="F25" s="128"/>
      <c r="G25" s="128"/>
      <c r="H25" s="128"/>
      <c r="I25" s="280"/>
      <c r="J25" s="280"/>
      <c r="K25" s="280"/>
      <c r="L25" s="280"/>
      <c r="M25" s="280"/>
      <c r="N25" s="286">
        <f t="shared" si="2"/>
        <v>23080050</v>
      </c>
      <c r="O25" s="1487">
        <f t="shared" si="3"/>
        <v>23080050</v>
      </c>
    </row>
    <row r="26" spans="1:17" x14ac:dyDescent="0.2">
      <c r="A26" s="50" t="s">
        <v>124</v>
      </c>
      <c r="B26" s="128">
        <f>SUM('6. sz.melléklet'!M104)</f>
        <v>471317843</v>
      </c>
      <c r="C26" s="128">
        <f>'6. sz.melléklet'!M105</f>
        <v>593128052</v>
      </c>
      <c r="D26" s="128"/>
      <c r="E26" s="128"/>
      <c r="F26" s="128"/>
      <c r="G26" s="128"/>
      <c r="H26" s="128"/>
      <c r="I26" s="280"/>
      <c r="J26" s="280"/>
      <c r="K26" s="280"/>
      <c r="L26" s="280"/>
      <c r="M26" s="280"/>
      <c r="N26" s="286">
        <f t="shared" si="2"/>
        <v>471317843</v>
      </c>
      <c r="O26" s="1487">
        <f t="shared" si="3"/>
        <v>593128052</v>
      </c>
    </row>
    <row r="27" spans="1:17" x14ac:dyDescent="0.2">
      <c r="A27" s="50" t="s">
        <v>125</v>
      </c>
      <c r="B27" s="128">
        <f>SUM('6. sz.melléklet'!K6)</f>
        <v>54155707.555555582</v>
      </c>
      <c r="C27" s="128">
        <f>'6. sz.melléklet'!K105</f>
        <v>21334155</v>
      </c>
      <c r="D27" s="128"/>
      <c r="E27" s="128"/>
      <c r="F27" s="128"/>
      <c r="G27" s="128"/>
      <c r="H27" s="128"/>
      <c r="I27" s="280"/>
      <c r="J27" s="280"/>
      <c r="K27" s="280"/>
      <c r="L27" s="280"/>
      <c r="M27" s="280"/>
      <c r="N27" s="286">
        <f t="shared" si="2"/>
        <v>54155707.555555582</v>
      </c>
      <c r="O27" s="1487">
        <f t="shared" si="3"/>
        <v>21334155</v>
      </c>
    </row>
    <row r="28" spans="1:17" ht="13.5" thickBot="1" x14ac:dyDescent="0.25">
      <c r="A28" s="233" t="s">
        <v>126</v>
      </c>
      <c r="B28" s="129">
        <f>SUM('6. sz.melléklet'!L9)</f>
        <v>26500000</v>
      </c>
      <c r="C28" s="129">
        <f>'6. sz.melléklet'!L105</f>
        <v>3571800</v>
      </c>
      <c r="D28" s="129"/>
      <c r="E28" s="129"/>
      <c r="F28" s="129"/>
      <c r="G28" s="129"/>
      <c r="H28" s="129"/>
      <c r="I28" s="284"/>
      <c r="J28" s="284"/>
      <c r="K28" s="296"/>
      <c r="L28" s="296"/>
      <c r="M28" s="296"/>
      <c r="N28" s="287">
        <f t="shared" si="2"/>
        <v>26500000</v>
      </c>
      <c r="O28" s="1489">
        <f t="shared" si="3"/>
        <v>3571800</v>
      </c>
      <c r="Q28" s="631">
        <f>SUM(B18:B28)</f>
        <v>2002421316.5555556</v>
      </c>
    </row>
    <row r="29" spans="1:17" ht="13.5" customHeight="1" thickBot="1" x14ac:dyDescent="0.25">
      <c r="A29" s="234" t="s">
        <v>140</v>
      </c>
      <c r="B29" s="130">
        <f t="shared" ref="B29:N29" si="4">SUM(B18:B28)</f>
        <v>2002421316.5555556</v>
      </c>
      <c r="C29" s="130">
        <f t="shared" si="4"/>
        <v>2072384215</v>
      </c>
      <c r="D29" s="130">
        <f t="shared" si="4"/>
        <v>150082000</v>
      </c>
      <c r="E29" s="130">
        <f t="shared" si="4"/>
        <v>157587191</v>
      </c>
      <c r="F29" s="130">
        <f t="shared" si="4"/>
        <v>189988000</v>
      </c>
      <c r="G29" s="130">
        <f t="shared" si="4"/>
        <v>200540200</v>
      </c>
      <c r="H29" s="130">
        <f t="shared" si="4"/>
        <v>69899000</v>
      </c>
      <c r="I29" s="282">
        <f t="shared" si="4"/>
        <v>73245800</v>
      </c>
      <c r="J29" s="282">
        <f t="shared" si="4"/>
        <v>78904000</v>
      </c>
      <c r="K29" s="291">
        <f t="shared" si="4"/>
        <v>82622400</v>
      </c>
      <c r="L29" s="1044"/>
      <c r="M29" s="1044">
        <f>SUM(M18:M28)</f>
        <v>3509414</v>
      </c>
      <c r="N29" s="297">
        <f t="shared" si="4"/>
        <v>2491294316.5555553</v>
      </c>
      <c r="O29" s="982">
        <f>SUM(O18:O28)</f>
        <v>2589889220</v>
      </c>
    </row>
    <row r="30" spans="1:17" ht="13.5" thickBot="1" x14ac:dyDescent="0.25">
      <c r="A30" s="132"/>
      <c r="B30" s="1372"/>
      <c r="C30" s="1372"/>
      <c r="D30" s="1372"/>
      <c r="E30" s="1372"/>
      <c r="F30" s="1372"/>
      <c r="G30" s="1372"/>
      <c r="H30" s="1372"/>
      <c r="I30" s="1372"/>
      <c r="J30" s="283"/>
      <c r="K30" s="1491"/>
      <c r="L30" s="1491"/>
      <c r="M30" s="1491"/>
      <c r="N30" s="130"/>
      <c r="O30" s="982"/>
    </row>
    <row r="31" spans="1:17" ht="16.5" thickBot="1" x14ac:dyDescent="0.3">
      <c r="A31" s="398" t="s">
        <v>467</v>
      </c>
      <c r="B31" s="131"/>
      <c r="C31" s="131"/>
      <c r="D31" s="131"/>
      <c r="E31" s="131"/>
      <c r="F31" s="131"/>
      <c r="G31" s="131"/>
      <c r="H31" s="131"/>
      <c r="I31" s="131"/>
      <c r="J31" s="1373"/>
      <c r="K31" s="1373"/>
      <c r="L31" s="1373"/>
      <c r="M31" s="1373"/>
      <c r="N31" s="295">
        <f>SUM(N29-D12-F12-H12-J12)</f>
        <v>2025375316.5555553</v>
      </c>
      <c r="O31" s="1493">
        <f>O29-E12-G12-I12-K12-M12</f>
        <v>2095338215</v>
      </c>
    </row>
  </sheetData>
  <mergeCells count="15">
    <mergeCell ref="A1:N1"/>
    <mergeCell ref="N3:O3"/>
    <mergeCell ref="B16:C16"/>
    <mergeCell ref="D16:E16"/>
    <mergeCell ref="F16:G16"/>
    <mergeCell ref="H16:I16"/>
    <mergeCell ref="J16:K16"/>
    <mergeCell ref="N16:O16"/>
    <mergeCell ref="B3:C3"/>
    <mergeCell ref="D3:E3"/>
    <mergeCell ref="F3:G3"/>
    <mergeCell ref="H3:I3"/>
    <mergeCell ref="J3:K3"/>
    <mergeCell ref="L3:M3"/>
    <mergeCell ref="L16:M1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>
    <oddHeader>&amp;A</oddHead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22"/>
  <sheetViews>
    <sheetView workbookViewId="0">
      <selection activeCell="B21" sqref="B21"/>
    </sheetView>
  </sheetViews>
  <sheetFormatPr defaultRowHeight="12.75" x14ac:dyDescent="0.2"/>
  <cols>
    <col min="1" max="1" width="54.5703125" style="1" customWidth="1"/>
    <col min="2" max="2" width="29.28515625" customWidth="1"/>
  </cols>
  <sheetData>
    <row r="2" spans="1:2" s="10" customFormat="1" ht="48" customHeight="1" x14ac:dyDescent="0.25">
      <c r="A2" s="2031" t="s">
        <v>574</v>
      </c>
      <c r="B2" s="2032"/>
    </row>
    <row r="3" spans="1:2" ht="0.75" customHeight="1" x14ac:dyDescent="0.25">
      <c r="A3" s="30" t="s">
        <v>151</v>
      </c>
      <c r="B3" s="30"/>
    </row>
    <row r="4" spans="1:2" s="1" customFormat="1" ht="0.75" customHeight="1" x14ac:dyDescent="0.2">
      <c r="A4"/>
      <c r="B4"/>
    </row>
    <row r="5" spans="1:2" ht="0.75" customHeight="1" thickBot="1" x14ac:dyDescent="0.25">
      <c r="A5"/>
      <c r="B5" s="1"/>
    </row>
    <row r="6" spans="1:2" ht="15" hidden="1" customHeight="1" thickBot="1" x14ac:dyDescent="0.25">
      <c r="A6"/>
      <c r="B6" s="1"/>
    </row>
    <row r="7" spans="1:2" ht="27.75" customHeight="1" x14ac:dyDescent="0.2">
      <c r="A7" s="248" t="s">
        <v>202</v>
      </c>
      <c r="B7" s="249" t="s">
        <v>203</v>
      </c>
    </row>
    <row r="8" spans="1:2" ht="15" customHeight="1" x14ac:dyDescent="0.2">
      <c r="A8" s="125"/>
      <c r="B8" s="252"/>
    </row>
    <row r="9" spans="1:2" ht="6" customHeight="1" x14ac:dyDescent="0.2">
      <c r="A9" s="250"/>
      <c r="B9" s="253"/>
    </row>
    <row r="10" spans="1:2" ht="15" customHeight="1" x14ac:dyDescent="0.2">
      <c r="A10" s="250"/>
      <c r="B10" s="253"/>
    </row>
    <row r="11" spans="1:2" ht="15" customHeight="1" x14ac:dyDescent="0.25">
      <c r="A11" s="255" t="s">
        <v>30</v>
      </c>
      <c r="B11" s="11"/>
    </row>
    <row r="12" spans="1:2" ht="3" customHeight="1" x14ac:dyDescent="0.2">
      <c r="A12" s="250"/>
      <c r="B12" s="253"/>
    </row>
    <row r="13" spans="1:2" ht="3" customHeight="1" x14ac:dyDescent="0.2">
      <c r="A13" s="250" t="s">
        <v>60</v>
      </c>
      <c r="B13" s="253"/>
    </row>
    <row r="14" spans="1:2" ht="6" customHeight="1" x14ac:dyDescent="0.2">
      <c r="A14" s="250"/>
      <c r="B14" s="253"/>
    </row>
    <row r="15" spans="1:2" ht="15" customHeight="1" x14ac:dyDescent="0.25">
      <c r="A15" s="255" t="s">
        <v>56</v>
      </c>
      <c r="B15" s="11"/>
    </row>
    <row r="16" spans="1:2" ht="6" customHeight="1" x14ac:dyDescent="0.2">
      <c r="A16" s="250"/>
      <c r="B16" s="253"/>
    </row>
    <row r="17" spans="1:2" ht="15.75" x14ac:dyDescent="0.25">
      <c r="A17" s="256" t="s">
        <v>168</v>
      </c>
      <c r="B17" s="11"/>
    </row>
    <row r="18" spans="1:2" ht="6" customHeight="1" x14ac:dyDescent="0.2">
      <c r="A18" s="251"/>
      <c r="B18" s="254"/>
    </row>
    <row r="19" spans="1:2" ht="15.75" x14ac:dyDescent="0.25">
      <c r="A19" s="257" t="s">
        <v>113</v>
      </c>
      <c r="B19" s="258"/>
    </row>
    <row r="20" spans="1:2" x14ac:dyDescent="0.2">
      <c r="A20" s="259" t="s">
        <v>67</v>
      </c>
      <c r="B20" s="14">
        <v>6</v>
      </c>
    </row>
    <row r="21" spans="1:2" ht="6" customHeight="1" x14ac:dyDescent="0.2">
      <c r="A21" s="250"/>
      <c r="B21" s="253"/>
    </row>
    <row r="22" spans="1:2" ht="15" customHeight="1" x14ac:dyDescent="0.2">
      <c r="A22" s="260" t="s">
        <v>7</v>
      </c>
      <c r="B22" s="11">
        <f>SUM(B10:B21)</f>
        <v>6</v>
      </c>
    </row>
  </sheetData>
  <mergeCells count="1">
    <mergeCell ref="A2:B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r:id="rId1"/>
  <headerFooter alignWithMargins="0">
    <oddHeader>&amp;A</oddHeader>
    <oddFooter>&amp;P. oldal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9">
    <pageSetUpPr fitToPage="1"/>
  </sheetPr>
  <dimension ref="A1:M69"/>
  <sheetViews>
    <sheetView workbookViewId="0">
      <selection sqref="A1:H31"/>
    </sheetView>
  </sheetViews>
  <sheetFormatPr defaultRowHeight="12.75" x14ac:dyDescent="0.2"/>
  <cols>
    <col min="1" max="1" width="12.5703125" customWidth="1"/>
    <col min="2" max="2" width="35.7109375" bestFit="1" customWidth="1"/>
    <col min="3" max="4" width="15.7109375" customWidth="1"/>
    <col min="5" max="5" width="18.140625" customWidth="1"/>
    <col min="6" max="7" width="15.7109375" customWidth="1"/>
    <col min="8" max="8" width="19.7109375" bestFit="1" customWidth="1"/>
    <col min="10" max="10" width="10.5703125" bestFit="1" customWidth="1"/>
  </cols>
  <sheetData>
    <row r="1" spans="1:13" ht="33.75" customHeight="1" thickBot="1" x14ac:dyDescent="0.3">
      <c r="A1" s="2054" t="s">
        <v>575</v>
      </c>
      <c r="B1" s="2055"/>
      <c r="C1" s="2055"/>
      <c r="D1" s="2055"/>
      <c r="E1" s="2055"/>
      <c r="F1" s="2055"/>
      <c r="G1" s="2055"/>
      <c r="H1" s="2056"/>
    </row>
    <row r="2" spans="1:13" ht="0.75" customHeight="1" x14ac:dyDescent="0.25">
      <c r="A2" s="29"/>
      <c r="B2" s="29"/>
      <c r="C2" s="1124"/>
      <c r="D2" s="1124"/>
      <c r="E2" s="1124"/>
      <c r="F2" s="1124"/>
      <c r="G2" s="1124"/>
      <c r="H2" s="1124"/>
    </row>
    <row r="3" spans="1:13" ht="0.75" customHeight="1" x14ac:dyDescent="0.2">
      <c r="A3" s="1124"/>
      <c r="B3" s="1124"/>
      <c r="C3" s="1124"/>
      <c r="D3" s="1124"/>
      <c r="E3" s="1124"/>
      <c r="F3" s="1124"/>
      <c r="G3" s="1124"/>
      <c r="H3" s="1124"/>
    </row>
    <row r="4" spans="1:13" ht="0.75" customHeight="1" thickBot="1" x14ac:dyDescent="0.25">
      <c r="A4" s="1124"/>
      <c r="B4" s="1124"/>
      <c r="C4" s="1124"/>
      <c r="D4" s="1124"/>
      <c r="E4" s="1124"/>
      <c r="F4" s="1124"/>
      <c r="G4" s="1124"/>
      <c r="H4" s="1124"/>
    </row>
    <row r="5" spans="1:13" ht="30.75" customHeight="1" x14ac:dyDescent="0.2">
      <c r="A5" s="1291" t="s">
        <v>224</v>
      </c>
      <c r="B5" s="864" t="s">
        <v>220</v>
      </c>
      <c r="C5" s="1292" t="s">
        <v>57</v>
      </c>
      <c r="D5" s="1292" t="s">
        <v>90</v>
      </c>
      <c r="E5" s="1292" t="s">
        <v>91</v>
      </c>
      <c r="F5" s="1292" t="s">
        <v>313</v>
      </c>
      <c r="G5" s="1293" t="s">
        <v>369</v>
      </c>
      <c r="H5" s="1294" t="s">
        <v>53</v>
      </c>
      <c r="I5" s="654"/>
      <c r="J5" s="654"/>
      <c r="K5" s="654"/>
      <c r="L5" s="654"/>
      <c r="M5" s="654"/>
    </row>
    <row r="6" spans="1:13" s="15" customFormat="1" ht="15" customHeight="1" x14ac:dyDescent="0.15">
      <c r="A6" s="930" t="s">
        <v>225</v>
      </c>
      <c r="B6" s="1295" t="s">
        <v>2</v>
      </c>
      <c r="C6" s="1296"/>
      <c r="D6" s="1296"/>
      <c r="E6" s="1296"/>
      <c r="F6" s="1296"/>
      <c r="G6" s="1297"/>
      <c r="H6" s="1298"/>
      <c r="I6" s="1299"/>
      <c r="J6" s="1299"/>
      <c r="K6" s="1299"/>
      <c r="L6" s="1299"/>
      <c r="M6" s="1299"/>
    </row>
    <row r="7" spans="1:13" s="15" customFormat="1" ht="15" customHeight="1" x14ac:dyDescent="0.15">
      <c r="A7" s="875"/>
      <c r="B7" s="1306" t="s">
        <v>349</v>
      </c>
      <c r="C7" s="877">
        <v>81590000</v>
      </c>
      <c r="D7" s="877">
        <v>16174000</v>
      </c>
      <c r="E7" s="877">
        <v>32698000</v>
      </c>
      <c r="F7" s="877">
        <f>'13.a.sz. melléklet'!I11</f>
        <v>5700000</v>
      </c>
      <c r="G7" s="1332"/>
      <c r="H7" s="1307">
        <f>SUM(C7:G7)</f>
        <v>136162000</v>
      </c>
      <c r="I7" s="1299"/>
      <c r="J7" s="1299"/>
      <c r="K7" s="1299"/>
      <c r="L7" s="1299"/>
      <c r="M7" s="1299"/>
    </row>
    <row r="8" spans="1:13" s="15" customFormat="1" ht="15" customHeight="1" thickBot="1" x14ac:dyDescent="0.2">
      <c r="A8" s="870"/>
      <c r="B8" s="1300" t="s">
        <v>350</v>
      </c>
      <c r="C8" s="868">
        <f>SUM(C7)+5546400+84100</f>
        <v>87220500</v>
      </c>
      <c r="D8" s="868">
        <f>SUM(D7)+971000</f>
        <v>17145000</v>
      </c>
      <c r="E8" s="868">
        <f t="shared" ref="E8:F8" si="0">SUM(E7)</f>
        <v>32698000</v>
      </c>
      <c r="F8" s="868">
        <f t="shared" si="0"/>
        <v>5700000</v>
      </c>
      <c r="G8" s="868"/>
      <c r="H8" s="1301">
        <f>SUM(C8:G8)</f>
        <v>142763500</v>
      </c>
      <c r="I8" s="1299"/>
      <c r="J8" s="1299"/>
      <c r="K8" s="1299"/>
      <c r="L8" s="1299"/>
      <c r="M8" s="1299"/>
    </row>
    <row r="9" spans="1:13" s="15" customFormat="1" ht="21" x14ac:dyDescent="0.15">
      <c r="A9" s="909" t="s">
        <v>456</v>
      </c>
      <c r="B9" s="1302" t="s">
        <v>457</v>
      </c>
      <c r="C9" s="911"/>
      <c r="D9" s="911"/>
      <c r="E9" s="911"/>
      <c r="F9" s="911"/>
      <c r="G9" s="911"/>
      <c r="H9" s="1303"/>
      <c r="I9" s="1299"/>
      <c r="J9" s="1299"/>
      <c r="K9" s="1299"/>
      <c r="L9" s="1299"/>
      <c r="M9" s="1299"/>
    </row>
    <row r="10" spans="1:13" s="15" customFormat="1" ht="15" customHeight="1" x14ac:dyDescent="0.15">
      <c r="A10" s="682"/>
      <c r="B10" s="1304" t="s">
        <v>349</v>
      </c>
      <c r="C10" s="933"/>
      <c r="D10" s="933"/>
      <c r="E10" s="933"/>
      <c r="F10" s="933"/>
      <c r="G10" s="933"/>
      <c r="H10" s="1305"/>
      <c r="I10" s="1299"/>
      <c r="J10" s="1299"/>
      <c r="K10" s="1299"/>
      <c r="L10" s="1299"/>
      <c r="M10" s="1299"/>
    </row>
    <row r="11" spans="1:13" s="15" customFormat="1" ht="15" customHeight="1" thickBot="1" x14ac:dyDescent="0.2">
      <c r="A11" s="1755"/>
      <c r="B11" s="1756" t="s">
        <v>350</v>
      </c>
      <c r="C11" s="1757"/>
      <c r="D11" s="1757"/>
      <c r="E11" s="1757"/>
      <c r="F11" s="1757"/>
      <c r="G11" s="1757"/>
      <c r="H11" s="1758">
        <f>SUM(C11:G11)</f>
        <v>0</v>
      </c>
      <c r="I11" s="1299"/>
      <c r="J11" s="1299"/>
      <c r="K11" s="1299"/>
      <c r="L11" s="1299"/>
      <c r="M11" s="1299"/>
    </row>
    <row r="12" spans="1:13" ht="15" customHeight="1" x14ac:dyDescent="0.2">
      <c r="A12" s="681" t="s">
        <v>226</v>
      </c>
      <c r="B12" s="666" t="s">
        <v>128</v>
      </c>
      <c r="C12" s="1308"/>
      <c r="D12" s="1308"/>
      <c r="E12" s="1308"/>
      <c r="F12" s="1308"/>
      <c r="G12" s="1309"/>
      <c r="H12" s="1301"/>
      <c r="I12" s="654"/>
      <c r="J12" s="654"/>
      <c r="K12" s="654"/>
      <c r="L12" s="654"/>
      <c r="M12" s="654"/>
    </row>
    <row r="13" spans="1:13" ht="15" customHeight="1" x14ac:dyDescent="0.2">
      <c r="A13" s="898"/>
      <c r="B13" s="1304" t="s">
        <v>349</v>
      </c>
      <c r="C13" s="1310">
        <f>9382000</f>
        <v>9382000</v>
      </c>
      <c r="D13" s="1310">
        <v>1688000</v>
      </c>
      <c r="E13" s="1310">
        <v>2850000</v>
      </c>
      <c r="F13" s="1310"/>
      <c r="G13" s="1311"/>
      <c r="H13" s="1305">
        <f>SUM(C13:F13)</f>
        <v>13920000</v>
      </c>
      <c r="I13" s="654"/>
      <c r="J13" s="654"/>
      <c r="K13" s="654"/>
      <c r="L13" s="654"/>
      <c r="M13" s="654"/>
    </row>
    <row r="14" spans="1:13" ht="15" customHeight="1" thickBot="1" x14ac:dyDescent="0.25">
      <c r="A14" s="875"/>
      <c r="B14" s="1306" t="s">
        <v>350</v>
      </c>
      <c r="C14" s="1310">
        <f>C13+720000+49100</f>
        <v>10151100</v>
      </c>
      <c r="D14" s="1310">
        <f>D13+126000+8591</f>
        <v>1822591</v>
      </c>
      <c r="E14" s="1310">
        <f t="shared" ref="E14:F14" si="1">E13</f>
        <v>2850000</v>
      </c>
      <c r="F14" s="1310">
        <f t="shared" si="1"/>
        <v>0</v>
      </c>
      <c r="G14" s="1311"/>
      <c r="H14" s="1307">
        <f>SUM(C14:F14)</f>
        <v>14823691</v>
      </c>
      <c r="I14" s="654"/>
      <c r="J14" s="654"/>
      <c r="K14" s="654"/>
      <c r="L14" s="654"/>
      <c r="M14" s="654"/>
    </row>
    <row r="15" spans="1:13" ht="15" customHeight="1" thickBot="1" x14ac:dyDescent="0.25">
      <c r="A15" s="2116" t="s">
        <v>92</v>
      </c>
      <c r="B15" s="2117"/>
      <c r="C15" s="878"/>
      <c r="D15" s="878"/>
      <c r="E15" s="878"/>
      <c r="F15" s="878"/>
      <c r="G15" s="1312"/>
      <c r="H15" s="879"/>
      <c r="I15" s="880"/>
      <c r="J15" s="1313"/>
      <c r="K15" s="654"/>
      <c r="L15" s="654"/>
      <c r="M15" s="654"/>
    </row>
    <row r="16" spans="1:13" ht="15" customHeight="1" thickBot="1" x14ac:dyDescent="0.25">
      <c r="A16" s="1314"/>
      <c r="B16" s="1315" t="s">
        <v>349</v>
      </c>
      <c r="C16" s="1753">
        <f>C7+C13</f>
        <v>90972000</v>
      </c>
      <c r="D16" s="1753">
        <f>D7+D13</f>
        <v>17862000</v>
      </c>
      <c r="E16" s="1753">
        <f>E7+E13</f>
        <v>35548000</v>
      </c>
      <c r="F16" s="1753">
        <f>F7+F13</f>
        <v>5700000</v>
      </c>
      <c r="G16" s="1753">
        <f>G7</f>
        <v>0</v>
      </c>
      <c r="H16" s="1754">
        <f>H7+H13</f>
        <v>150082000</v>
      </c>
      <c r="I16" s="880"/>
      <c r="J16" s="1313"/>
      <c r="K16" s="654"/>
      <c r="L16" s="654"/>
      <c r="M16" s="654"/>
    </row>
    <row r="17" spans="1:13" ht="15" customHeight="1" x14ac:dyDescent="0.2">
      <c r="A17" s="1316"/>
      <c r="B17" s="1317" t="s">
        <v>350</v>
      </c>
      <c r="C17" s="1752">
        <f t="shared" ref="C17:H17" si="2">C8+C14+C11</f>
        <v>97371600</v>
      </c>
      <c r="D17" s="1752">
        <f t="shared" si="2"/>
        <v>18967591</v>
      </c>
      <c r="E17" s="1752">
        <f t="shared" si="2"/>
        <v>35548000</v>
      </c>
      <c r="F17" s="1752">
        <f t="shared" si="2"/>
        <v>5700000</v>
      </c>
      <c r="G17" s="1752">
        <f t="shared" si="2"/>
        <v>0</v>
      </c>
      <c r="H17" s="1752">
        <f t="shared" si="2"/>
        <v>157587191</v>
      </c>
      <c r="I17" s="880"/>
      <c r="J17" s="1313"/>
      <c r="K17" s="654"/>
      <c r="L17" s="654"/>
      <c r="M17" s="654"/>
    </row>
    <row r="18" spans="1:13" ht="15" customHeight="1" thickBot="1" x14ac:dyDescent="0.25">
      <c r="A18" s="1318"/>
      <c r="B18" s="1319"/>
      <c r="C18" s="1320"/>
      <c r="D18" s="1320"/>
      <c r="E18" s="1320"/>
      <c r="F18" s="1320"/>
      <c r="G18" s="1320"/>
      <c r="H18" s="1321"/>
      <c r="I18" s="654"/>
      <c r="J18" s="654"/>
      <c r="K18" s="654"/>
      <c r="L18" s="654"/>
      <c r="M18" s="654"/>
    </row>
    <row r="19" spans="1:13" ht="31.5" x14ac:dyDescent="0.2">
      <c r="A19" s="1291" t="s">
        <v>224</v>
      </c>
      <c r="B19" s="864" t="s">
        <v>220</v>
      </c>
      <c r="C19" s="921" t="s">
        <v>173</v>
      </c>
      <c r="D19" s="921" t="s">
        <v>93</v>
      </c>
      <c r="E19" s="921" t="s">
        <v>281</v>
      </c>
      <c r="F19" s="921" t="s">
        <v>295</v>
      </c>
      <c r="G19" s="1322" t="s">
        <v>379</v>
      </c>
      <c r="H19" s="1323"/>
      <c r="I19" s="654"/>
      <c r="J19" s="654"/>
      <c r="K19" s="654"/>
      <c r="L19" s="654"/>
      <c r="M19" s="654"/>
    </row>
    <row r="20" spans="1:13" s="15" customFormat="1" ht="15" customHeight="1" x14ac:dyDescent="0.15">
      <c r="A20" s="930" t="s">
        <v>225</v>
      </c>
      <c r="B20" s="1295" t="s">
        <v>2</v>
      </c>
      <c r="C20" s="868"/>
      <c r="D20" s="868"/>
      <c r="E20" s="868"/>
      <c r="F20" s="868"/>
      <c r="G20" s="1324"/>
      <c r="H20" s="908"/>
      <c r="I20" s="1299"/>
      <c r="J20" s="1299"/>
      <c r="K20" s="1299"/>
      <c r="L20" s="1299"/>
      <c r="M20" s="1299"/>
    </row>
    <row r="21" spans="1:13" s="15" customFormat="1" ht="15" customHeight="1" x14ac:dyDescent="0.15">
      <c r="A21" s="875"/>
      <c r="B21" s="1306" t="s">
        <v>349</v>
      </c>
      <c r="C21" s="877"/>
      <c r="D21" s="877">
        <v>10180000</v>
      </c>
      <c r="E21" s="877"/>
      <c r="F21" s="877"/>
      <c r="G21" s="1332"/>
      <c r="H21" s="1329">
        <f>SUM(C21:F21)</f>
        <v>10180000</v>
      </c>
      <c r="I21" s="1299"/>
      <c r="J21" s="1299"/>
      <c r="K21" s="1299"/>
      <c r="L21" s="1299"/>
      <c r="M21" s="1299"/>
    </row>
    <row r="22" spans="1:13" s="15" customFormat="1" ht="15" customHeight="1" thickBot="1" x14ac:dyDescent="0.2">
      <c r="A22" s="870"/>
      <c r="B22" s="1300" t="s">
        <v>350</v>
      </c>
      <c r="C22" s="868">
        <f>SUM(C21)</f>
        <v>0</v>
      </c>
      <c r="D22" s="868">
        <f t="shared" ref="D22" si="3">SUM(D21)</f>
        <v>10180000</v>
      </c>
      <c r="E22" s="868"/>
      <c r="F22" s="868"/>
      <c r="G22" s="868"/>
      <c r="H22" s="1326">
        <f>SUM(C22:F22)</f>
        <v>10180000</v>
      </c>
      <c r="I22" s="1299"/>
      <c r="J22" s="1299"/>
      <c r="K22" s="1299"/>
      <c r="L22" s="1299"/>
      <c r="M22" s="1299"/>
    </row>
    <row r="23" spans="1:13" s="15" customFormat="1" ht="21" x14ac:dyDescent="0.15">
      <c r="A23" s="909" t="s">
        <v>456</v>
      </c>
      <c r="B23" s="1302" t="s">
        <v>457</v>
      </c>
      <c r="C23" s="911"/>
      <c r="D23" s="911"/>
      <c r="E23" s="911"/>
      <c r="F23" s="911"/>
      <c r="G23" s="911"/>
      <c r="H23" s="1327"/>
      <c r="I23" s="1299"/>
      <c r="J23" s="1299"/>
      <c r="K23" s="1299"/>
      <c r="L23" s="1299"/>
      <c r="M23" s="1299"/>
    </row>
    <row r="24" spans="1:13" s="15" customFormat="1" ht="15" customHeight="1" x14ac:dyDescent="0.15">
      <c r="A24" s="682"/>
      <c r="B24" s="1304" t="s">
        <v>349</v>
      </c>
      <c r="C24" s="933"/>
      <c r="D24" s="933"/>
      <c r="E24" s="933"/>
      <c r="F24" s="933"/>
      <c r="G24" s="933"/>
      <c r="H24" s="1328"/>
      <c r="I24" s="1299"/>
      <c r="J24" s="1299"/>
      <c r="K24" s="1299"/>
      <c r="L24" s="1299"/>
      <c r="M24" s="1299"/>
    </row>
    <row r="25" spans="1:13" s="15" customFormat="1" ht="15" customHeight="1" thickBot="1" x14ac:dyDescent="0.2">
      <c r="A25" s="1755"/>
      <c r="B25" s="1756" t="s">
        <v>350</v>
      </c>
      <c r="C25" s="1757"/>
      <c r="D25" s="1757"/>
      <c r="E25" s="1757"/>
      <c r="F25" s="1757"/>
      <c r="G25" s="1757"/>
      <c r="H25" s="1325">
        <f>SUM(C25:G25)</f>
        <v>0</v>
      </c>
      <c r="I25" s="1299"/>
      <c r="J25" s="1299"/>
      <c r="K25" s="1299"/>
      <c r="L25" s="1299"/>
      <c r="M25" s="1299"/>
    </row>
    <row r="26" spans="1:13" s="15" customFormat="1" ht="15" customHeight="1" x14ac:dyDescent="0.15">
      <c r="A26" s="681" t="s">
        <v>278</v>
      </c>
      <c r="B26" s="1330" t="s">
        <v>280</v>
      </c>
      <c r="C26" s="868"/>
      <c r="D26" s="868"/>
      <c r="E26" s="868"/>
      <c r="F26" s="868"/>
      <c r="G26" s="1324"/>
      <c r="H26" s="1326"/>
      <c r="I26" s="1299"/>
      <c r="J26" s="1299"/>
      <c r="K26" s="1299"/>
      <c r="L26" s="1299"/>
      <c r="M26" s="1299"/>
    </row>
    <row r="27" spans="1:13" s="15" customFormat="1" ht="15" customHeight="1" x14ac:dyDescent="0.15">
      <c r="A27" s="898"/>
      <c r="B27" s="1304" t="s">
        <v>349</v>
      </c>
      <c r="C27" s="933"/>
      <c r="D27" s="933"/>
      <c r="E27" s="933">
        <f>SUM(H16-C30-D30)</f>
        <v>139902000</v>
      </c>
      <c r="F27" s="933"/>
      <c r="G27" s="1331"/>
      <c r="H27" s="1328">
        <f>SUM(C27:F27)</f>
        <v>139902000</v>
      </c>
      <c r="I27" s="1299"/>
      <c r="J27" s="1299"/>
      <c r="K27" s="1299"/>
      <c r="L27" s="1299"/>
      <c r="M27" s="1299"/>
    </row>
    <row r="28" spans="1:13" s="15" customFormat="1" ht="15" customHeight="1" thickBot="1" x14ac:dyDescent="0.2">
      <c r="A28" s="875"/>
      <c r="B28" s="1306" t="s">
        <v>350</v>
      </c>
      <c r="C28" s="877"/>
      <c r="D28" s="877"/>
      <c r="E28" s="877">
        <f>H17-C22-D22</f>
        <v>147407191</v>
      </c>
      <c r="F28" s="877"/>
      <c r="G28" s="1332"/>
      <c r="H28" s="1329">
        <f>SUM(C28:G28)</f>
        <v>147407191</v>
      </c>
      <c r="I28" s="1299"/>
      <c r="J28" s="1299"/>
      <c r="K28" s="1299"/>
      <c r="L28" s="1299"/>
      <c r="M28" s="1299"/>
    </row>
    <row r="29" spans="1:13" ht="15" customHeight="1" thickBot="1" x14ac:dyDescent="0.25">
      <c r="A29" s="2116" t="s">
        <v>94</v>
      </c>
      <c r="B29" s="2117"/>
      <c r="C29" s="878"/>
      <c r="D29" s="878"/>
      <c r="E29" s="878"/>
      <c r="F29" s="878"/>
      <c r="G29" s="1312"/>
      <c r="H29" s="1333"/>
      <c r="I29" s="880"/>
      <c r="J29" s="1313"/>
      <c r="K29" s="654"/>
      <c r="L29" s="654"/>
      <c r="M29" s="654"/>
    </row>
    <row r="30" spans="1:13" ht="15" customHeight="1" thickBot="1" x14ac:dyDescent="0.25">
      <c r="A30" s="1314"/>
      <c r="B30" s="1315" t="s">
        <v>349</v>
      </c>
      <c r="C30" s="1753">
        <f>C21+C27</f>
        <v>0</v>
      </c>
      <c r="D30" s="1753">
        <f>D21+D27</f>
        <v>10180000</v>
      </c>
      <c r="E30" s="1753">
        <f>E21+E27</f>
        <v>139902000</v>
      </c>
      <c r="F30" s="1753">
        <f>F21+F27</f>
        <v>0</v>
      </c>
      <c r="G30" s="1753"/>
      <c r="H30" s="1962">
        <f>H21+H27</f>
        <v>150082000</v>
      </c>
      <c r="I30" s="880"/>
      <c r="J30" s="1313"/>
      <c r="K30" s="654"/>
      <c r="L30" s="654"/>
      <c r="M30" s="654"/>
    </row>
    <row r="31" spans="1:13" ht="15" customHeight="1" x14ac:dyDescent="0.2">
      <c r="A31" s="1316"/>
      <c r="B31" s="1317" t="s">
        <v>350</v>
      </c>
      <c r="C31" s="1752">
        <f t="shared" ref="C31:H31" si="4">C22+C28+C25</f>
        <v>0</v>
      </c>
      <c r="D31" s="1752">
        <f t="shared" si="4"/>
        <v>10180000</v>
      </c>
      <c r="E31" s="1752">
        <f t="shared" si="4"/>
        <v>147407191</v>
      </c>
      <c r="F31" s="1752">
        <f t="shared" si="4"/>
        <v>0</v>
      </c>
      <c r="G31" s="1752">
        <f t="shared" si="4"/>
        <v>0</v>
      </c>
      <c r="H31" s="1752">
        <f t="shared" si="4"/>
        <v>157587191</v>
      </c>
      <c r="I31" s="880"/>
      <c r="J31" s="1313"/>
      <c r="K31" s="654"/>
      <c r="L31" s="654"/>
      <c r="M31" s="654"/>
    </row>
    <row r="32" spans="1:13" ht="15" customHeight="1" thickBot="1" x14ac:dyDescent="0.25">
      <c r="A32" s="654"/>
      <c r="B32" s="654"/>
      <c r="C32" s="654"/>
      <c r="D32" s="654"/>
      <c r="E32" s="654"/>
      <c r="F32" s="654"/>
      <c r="G32" s="654"/>
      <c r="H32" s="654"/>
      <c r="I32" s="654"/>
      <c r="J32" s="654"/>
      <c r="K32" s="654"/>
      <c r="L32" s="654"/>
      <c r="M32" s="654"/>
    </row>
    <row r="33" spans="1:13" ht="15" customHeight="1" thickBot="1" x14ac:dyDescent="0.3">
      <c r="A33" s="2120" t="s">
        <v>576</v>
      </c>
      <c r="B33" s="2121"/>
      <c r="C33" s="2121"/>
      <c r="D33" s="2121"/>
      <c r="E33" s="2121"/>
      <c r="F33" s="2121"/>
      <c r="G33" s="2121"/>
      <c r="H33" s="2122"/>
      <c r="I33" s="654"/>
      <c r="J33" s="654"/>
      <c r="K33" s="654"/>
      <c r="L33" s="654"/>
      <c r="M33" s="654"/>
    </row>
    <row r="34" spans="1:13" ht="15" customHeight="1" x14ac:dyDescent="0.2">
      <c r="A34" s="1291" t="s">
        <v>224</v>
      </c>
      <c r="B34" s="864" t="s">
        <v>220</v>
      </c>
      <c r="C34" s="1292" t="s">
        <v>57</v>
      </c>
      <c r="D34" s="1292" t="s">
        <v>90</v>
      </c>
      <c r="E34" s="1292" t="s">
        <v>91</v>
      </c>
      <c r="F34" s="1292" t="s">
        <v>313</v>
      </c>
      <c r="G34" s="1293" t="s">
        <v>369</v>
      </c>
      <c r="H34" s="1294" t="s">
        <v>53</v>
      </c>
      <c r="I34" s="654"/>
      <c r="J34" s="654"/>
      <c r="K34" s="654"/>
      <c r="L34" s="654"/>
      <c r="M34" s="654"/>
    </row>
    <row r="35" spans="1:13" ht="15" customHeight="1" x14ac:dyDescent="0.2">
      <c r="A35" s="2123" t="s">
        <v>174</v>
      </c>
      <c r="B35" s="2124"/>
      <c r="C35" s="865"/>
      <c r="D35" s="865"/>
      <c r="E35" s="865"/>
      <c r="F35" s="865"/>
      <c r="G35" s="865"/>
      <c r="H35" s="1335"/>
      <c r="I35" s="654"/>
      <c r="J35" s="654"/>
      <c r="K35" s="654"/>
      <c r="L35" s="654"/>
      <c r="M35" s="654"/>
    </row>
    <row r="36" spans="1:13" ht="15" customHeight="1" x14ac:dyDescent="0.2">
      <c r="A36" s="930" t="s">
        <v>226</v>
      </c>
      <c r="B36" s="1336" t="s">
        <v>128</v>
      </c>
      <c r="C36" s="1337"/>
      <c r="D36" s="1337"/>
      <c r="E36" s="1337"/>
      <c r="F36" s="1337"/>
      <c r="G36" s="1337"/>
      <c r="H36" s="1338"/>
      <c r="I36" s="654"/>
      <c r="J36" s="654"/>
      <c r="K36" s="654"/>
      <c r="L36" s="654"/>
      <c r="M36" s="654"/>
    </row>
    <row r="37" spans="1:13" ht="15" customHeight="1" x14ac:dyDescent="0.2">
      <c r="A37" s="875"/>
      <c r="B37" s="1306" t="s">
        <v>349</v>
      </c>
      <c r="C37" s="1337">
        <f t="shared" ref="C37:E38" si="5">C13</f>
        <v>9382000</v>
      </c>
      <c r="D37" s="1337">
        <f t="shared" si="5"/>
        <v>1688000</v>
      </c>
      <c r="E37" s="1337">
        <f t="shared" si="5"/>
        <v>2850000</v>
      </c>
      <c r="F37" s="1337">
        <f>SUM(F13)</f>
        <v>0</v>
      </c>
      <c r="G37" s="1337"/>
      <c r="H37" s="1361">
        <f>SUM(C37:G37)</f>
        <v>13920000</v>
      </c>
      <c r="I37" s="654"/>
      <c r="J37" s="654"/>
      <c r="K37" s="654"/>
      <c r="L37" s="654"/>
      <c r="M37" s="654"/>
    </row>
    <row r="38" spans="1:13" ht="15" customHeight="1" thickBot="1" x14ac:dyDescent="0.25">
      <c r="A38" s="1759"/>
      <c r="B38" s="1760" t="s">
        <v>350</v>
      </c>
      <c r="C38" s="1761">
        <f t="shared" si="5"/>
        <v>10151100</v>
      </c>
      <c r="D38" s="1761">
        <f t="shared" si="5"/>
        <v>1822591</v>
      </c>
      <c r="E38" s="1761">
        <f t="shared" si="5"/>
        <v>2850000</v>
      </c>
      <c r="F38" s="1761"/>
      <c r="G38" s="1761"/>
      <c r="H38" s="1762">
        <f>SUM(C38:G38)</f>
        <v>14823691</v>
      </c>
      <c r="I38" s="654"/>
      <c r="J38" s="654"/>
      <c r="K38" s="654"/>
      <c r="L38" s="654"/>
      <c r="M38" s="654"/>
    </row>
    <row r="39" spans="1:13" ht="21.75" x14ac:dyDescent="0.2">
      <c r="A39" s="681" t="s">
        <v>456</v>
      </c>
      <c r="B39" s="1374" t="s">
        <v>457</v>
      </c>
      <c r="C39" s="868"/>
      <c r="D39" s="868"/>
      <c r="E39" s="868"/>
      <c r="F39" s="868"/>
      <c r="G39" s="868"/>
      <c r="H39" s="1375"/>
      <c r="I39" s="654"/>
      <c r="J39" s="654"/>
      <c r="K39" s="654"/>
      <c r="L39" s="654"/>
      <c r="M39" s="654"/>
    </row>
    <row r="40" spans="1:13" ht="15" customHeight="1" x14ac:dyDescent="0.2">
      <c r="A40" s="875"/>
      <c r="B40" s="1306" t="s">
        <v>349</v>
      </c>
      <c r="C40" s="877"/>
      <c r="D40" s="877"/>
      <c r="E40" s="877"/>
      <c r="F40" s="877"/>
      <c r="G40" s="877"/>
      <c r="H40" s="1341"/>
      <c r="I40" s="654"/>
      <c r="J40" s="654"/>
      <c r="K40" s="654"/>
      <c r="L40" s="654"/>
      <c r="M40" s="654"/>
    </row>
    <row r="41" spans="1:13" ht="15" customHeight="1" thickBot="1" x14ac:dyDescent="0.25">
      <c r="A41" s="1755"/>
      <c r="B41" s="1756" t="s">
        <v>350</v>
      </c>
      <c r="C41" s="1757">
        <f>SUM(C11)</f>
        <v>0</v>
      </c>
      <c r="D41" s="1757">
        <f>SUM(D11)</f>
        <v>0</v>
      </c>
      <c r="E41" s="1757">
        <f>SUM(E11)</f>
        <v>0</v>
      </c>
      <c r="F41" s="1757"/>
      <c r="G41" s="1757"/>
      <c r="H41" s="1763">
        <f>SUM(H11)</f>
        <v>0</v>
      </c>
      <c r="I41" s="654"/>
      <c r="J41" s="654"/>
      <c r="K41" s="654"/>
      <c r="L41" s="654"/>
      <c r="M41" s="654"/>
    </row>
    <row r="42" spans="1:13" ht="15" customHeight="1" x14ac:dyDescent="0.2">
      <c r="A42" s="2125" t="s">
        <v>178</v>
      </c>
      <c r="B42" s="2126"/>
      <c r="C42" s="890"/>
      <c r="D42" s="890"/>
      <c r="E42" s="890"/>
      <c r="F42" s="890"/>
      <c r="G42" s="890"/>
      <c r="H42" s="1376"/>
      <c r="I42" s="654"/>
      <c r="J42" s="654"/>
      <c r="K42" s="654"/>
      <c r="L42" s="654"/>
      <c r="M42" s="654"/>
    </row>
    <row r="43" spans="1:13" ht="15" customHeight="1" x14ac:dyDescent="0.2">
      <c r="A43" s="930" t="s">
        <v>225</v>
      </c>
      <c r="B43" s="1295" t="s">
        <v>2</v>
      </c>
      <c r="C43" s="877"/>
      <c r="D43" s="877"/>
      <c r="E43" s="877"/>
      <c r="F43" s="877"/>
      <c r="G43" s="877"/>
      <c r="H43" s="1338"/>
      <c r="I43" s="654"/>
      <c r="J43" s="654"/>
      <c r="K43" s="654"/>
      <c r="L43" s="654"/>
      <c r="M43" s="654"/>
    </row>
    <row r="44" spans="1:13" ht="15" customHeight="1" x14ac:dyDescent="0.2">
      <c r="A44" s="875"/>
      <c r="B44" s="1306" t="s">
        <v>349</v>
      </c>
      <c r="C44" s="877">
        <f>C7</f>
        <v>81590000</v>
      </c>
      <c r="D44" s="877">
        <f>D7</f>
        <v>16174000</v>
      </c>
      <c r="E44" s="877">
        <f>E7</f>
        <v>32698000</v>
      </c>
      <c r="F44" s="877">
        <f>F7</f>
        <v>5700000</v>
      </c>
      <c r="G44" s="877">
        <f>G7</f>
        <v>0</v>
      </c>
      <c r="H44" s="1361">
        <f>SUM(C44:G44)</f>
        <v>136162000</v>
      </c>
      <c r="I44" s="654"/>
      <c r="J44" s="654"/>
      <c r="K44" s="654"/>
      <c r="L44" s="654"/>
      <c r="M44" s="654"/>
    </row>
    <row r="45" spans="1:13" ht="15" customHeight="1" thickBot="1" x14ac:dyDescent="0.25">
      <c r="A45" s="870"/>
      <c r="B45" s="1300" t="s">
        <v>350</v>
      </c>
      <c r="C45" s="1757">
        <f>C8</f>
        <v>87220500</v>
      </c>
      <c r="D45" s="1757">
        <f>D8</f>
        <v>17145000</v>
      </c>
      <c r="E45" s="1757">
        <f>E8</f>
        <v>32698000</v>
      </c>
      <c r="F45" s="1757">
        <f>F8</f>
        <v>5700000</v>
      </c>
      <c r="G45" s="1764"/>
      <c r="H45" s="1339">
        <f>SUM(C45:G45)</f>
        <v>142763500</v>
      </c>
      <c r="I45" s="654"/>
      <c r="J45" s="654"/>
      <c r="K45" s="654"/>
      <c r="L45" s="654"/>
      <c r="M45" s="654"/>
    </row>
    <row r="46" spans="1:13" ht="15" customHeight="1" thickBot="1" x14ac:dyDescent="0.25">
      <c r="A46" s="2116" t="s">
        <v>92</v>
      </c>
      <c r="B46" s="2117"/>
      <c r="C46" s="1344"/>
      <c r="D46" s="1344"/>
      <c r="E46" s="1344"/>
      <c r="F46" s="1344"/>
      <c r="G46" s="1345"/>
      <c r="H46" s="1346"/>
      <c r="I46" s="654"/>
      <c r="J46" s="654"/>
      <c r="K46" s="654"/>
      <c r="L46" s="654"/>
      <c r="M46" s="654"/>
    </row>
    <row r="47" spans="1:13" ht="15" customHeight="1" x14ac:dyDescent="0.2">
      <c r="A47" s="1347"/>
      <c r="B47" s="1348" t="s">
        <v>349</v>
      </c>
      <c r="C47" s="1952">
        <f t="shared" ref="C47:H47" si="6">C37+C44</f>
        <v>90972000</v>
      </c>
      <c r="D47" s="1952">
        <f t="shared" si="6"/>
        <v>17862000</v>
      </c>
      <c r="E47" s="1952">
        <f t="shared" si="6"/>
        <v>35548000</v>
      </c>
      <c r="F47" s="1952">
        <f t="shared" si="6"/>
        <v>5700000</v>
      </c>
      <c r="G47" s="1963">
        <f t="shared" si="6"/>
        <v>0</v>
      </c>
      <c r="H47" s="1964">
        <f t="shared" si="6"/>
        <v>150082000</v>
      </c>
      <c r="I47" s="654"/>
      <c r="J47" s="654"/>
      <c r="K47" s="654"/>
      <c r="L47" s="654"/>
      <c r="M47" s="654"/>
    </row>
    <row r="48" spans="1:13" ht="15" customHeight="1" x14ac:dyDescent="0.2">
      <c r="A48" s="1349"/>
      <c r="B48" s="1350" t="s">
        <v>350</v>
      </c>
      <c r="C48" s="1950">
        <f t="shared" ref="C48:H48" si="7">C38+C45+C41</f>
        <v>97371600</v>
      </c>
      <c r="D48" s="1950">
        <f t="shared" si="7"/>
        <v>18967591</v>
      </c>
      <c r="E48" s="1950">
        <f t="shared" si="7"/>
        <v>35548000</v>
      </c>
      <c r="F48" s="1950">
        <f t="shared" si="7"/>
        <v>5700000</v>
      </c>
      <c r="G48" s="1950">
        <f t="shared" si="7"/>
        <v>0</v>
      </c>
      <c r="H48" s="1950">
        <f t="shared" si="7"/>
        <v>157587191</v>
      </c>
      <c r="I48" s="654"/>
      <c r="J48" s="654"/>
      <c r="K48" s="654"/>
      <c r="L48" s="654"/>
      <c r="M48" s="654"/>
    </row>
    <row r="49" spans="1:13" ht="15" customHeight="1" x14ac:dyDescent="0.2">
      <c r="A49" s="1351"/>
      <c r="B49" s="1352"/>
      <c r="C49" s="1353"/>
      <c r="D49" s="1353"/>
      <c r="E49" s="1353"/>
      <c r="F49" s="1353"/>
      <c r="G49" s="1353"/>
      <c r="H49" s="1354"/>
      <c r="I49" s="654"/>
      <c r="J49" s="654"/>
      <c r="K49" s="654"/>
      <c r="L49" s="654"/>
      <c r="M49" s="654"/>
    </row>
    <row r="50" spans="1:13" ht="15" customHeight="1" x14ac:dyDescent="0.2">
      <c r="A50" s="1351"/>
      <c r="B50" s="1352"/>
      <c r="C50" s="1353"/>
      <c r="D50" s="1353"/>
      <c r="E50" s="1353"/>
      <c r="F50" s="1353"/>
      <c r="G50" s="1353"/>
      <c r="H50" s="1354"/>
      <c r="I50" s="654"/>
      <c r="J50" s="654"/>
      <c r="K50" s="654"/>
      <c r="L50" s="654"/>
      <c r="M50" s="654"/>
    </row>
    <row r="51" spans="1:13" ht="15" customHeight="1" thickBot="1" x14ac:dyDescent="0.25">
      <c r="A51" s="1355"/>
      <c r="B51" s="659"/>
      <c r="C51" s="880"/>
      <c r="D51" s="880"/>
      <c r="E51" s="880"/>
      <c r="F51" s="880"/>
      <c r="G51" s="880"/>
      <c r="H51" s="1356"/>
      <c r="I51" s="654"/>
      <c r="J51" s="654"/>
      <c r="K51" s="654"/>
      <c r="L51" s="654"/>
      <c r="M51" s="654"/>
    </row>
    <row r="52" spans="1:13" ht="31.5" x14ac:dyDescent="0.2">
      <c r="A52" s="1291" t="s">
        <v>224</v>
      </c>
      <c r="B52" s="864" t="s">
        <v>220</v>
      </c>
      <c r="C52" s="1357" t="s">
        <v>173</v>
      </c>
      <c r="D52" s="1357" t="s">
        <v>93</v>
      </c>
      <c r="E52" s="1357" t="s">
        <v>281</v>
      </c>
      <c r="F52" s="1292" t="s">
        <v>295</v>
      </c>
      <c r="G52" s="1293" t="s">
        <v>379</v>
      </c>
      <c r="H52" s="1294" t="s">
        <v>53</v>
      </c>
      <c r="I52" s="654"/>
      <c r="J52" s="654"/>
      <c r="K52" s="654"/>
      <c r="L52" s="654"/>
      <c r="M52" s="654"/>
    </row>
    <row r="53" spans="1:13" ht="15" customHeight="1" x14ac:dyDescent="0.2">
      <c r="A53" s="2123" t="s">
        <v>174</v>
      </c>
      <c r="B53" s="2124"/>
      <c r="C53" s="921"/>
      <c r="D53" s="921"/>
      <c r="E53" s="921"/>
      <c r="F53" s="921"/>
      <c r="G53" s="1322"/>
      <c r="H53" s="1358"/>
      <c r="I53" s="654"/>
      <c r="J53" s="654"/>
      <c r="K53" s="654"/>
      <c r="L53" s="654"/>
      <c r="M53" s="654"/>
    </row>
    <row r="54" spans="1:13" ht="15" customHeight="1" x14ac:dyDescent="0.2">
      <c r="A54" s="930" t="s">
        <v>278</v>
      </c>
      <c r="B54" s="1359" t="s">
        <v>280</v>
      </c>
      <c r="C54" s="868"/>
      <c r="D54" s="868"/>
      <c r="E54" s="868"/>
      <c r="F54" s="1337"/>
      <c r="G54" s="1360"/>
      <c r="H54" s="1361"/>
      <c r="I54" s="654"/>
      <c r="J54" s="654"/>
      <c r="K54" s="654"/>
      <c r="L54" s="654"/>
      <c r="M54" s="654"/>
    </row>
    <row r="55" spans="1:13" ht="15" customHeight="1" x14ac:dyDescent="0.2">
      <c r="A55" s="1370"/>
      <c r="B55" s="1306" t="s">
        <v>349</v>
      </c>
      <c r="C55" s="877"/>
      <c r="D55" s="877"/>
      <c r="E55" s="877">
        <f>E27</f>
        <v>139902000</v>
      </c>
      <c r="F55" s="1337"/>
      <c r="G55" s="1360"/>
      <c r="H55" s="1361">
        <f t="shared" ref="H55:H62" si="8">SUM(C55:F55)</f>
        <v>139902000</v>
      </c>
      <c r="I55" s="654"/>
      <c r="J55" s="654"/>
      <c r="K55" s="654"/>
      <c r="L55" s="654"/>
      <c r="M55" s="654"/>
    </row>
    <row r="56" spans="1:13" ht="15" customHeight="1" thickBot="1" x14ac:dyDescent="0.25">
      <c r="A56" s="1362"/>
      <c r="B56" s="1300" t="s">
        <v>350</v>
      </c>
      <c r="C56" s="868"/>
      <c r="D56" s="868"/>
      <c r="E56" s="868">
        <f>E28</f>
        <v>147407191</v>
      </c>
      <c r="F56" s="1308"/>
      <c r="G56" s="1309">
        <f>SUM(G28)</f>
        <v>0</v>
      </c>
      <c r="H56" s="1343">
        <f>SUM(C56:G56)</f>
        <v>147407191</v>
      </c>
      <c r="I56" s="654"/>
      <c r="J56" s="654"/>
      <c r="K56" s="654"/>
      <c r="L56" s="654"/>
      <c r="M56" s="654"/>
    </row>
    <row r="57" spans="1:13" ht="21.75" x14ac:dyDescent="0.2">
      <c r="A57" s="909" t="s">
        <v>456</v>
      </c>
      <c r="B57" s="1302" t="s">
        <v>457</v>
      </c>
      <c r="C57" s="911"/>
      <c r="D57" s="911"/>
      <c r="E57" s="911"/>
      <c r="F57" s="911"/>
      <c r="G57" s="911"/>
      <c r="H57" s="1327"/>
      <c r="I57" s="654"/>
      <c r="J57" s="654"/>
      <c r="K57" s="654"/>
      <c r="L57" s="654"/>
      <c r="M57" s="654"/>
    </row>
    <row r="58" spans="1:13" ht="15" customHeight="1" x14ac:dyDescent="0.2">
      <c r="A58" s="682"/>
      <c r="B58" s="1304" t="s">
        <v>349</v>
      </c>
      <c r="C58" s="933"/>
      <c r="D58" s="933"/>
      <c r="E58" s="933"/>
      <c r="F58" s="933"/>
      <c r="G58" s="933"/>
      <c r="H58" s="1328"/>
      <c r="I58" s="654"/>
      <c r="J58" s="654"/>
      <c r="K58" s="654"/>
      <c r="L58" s="654"/>
      <c r="M58" s="654"/>
    </row>
    <row r="59" spans="1:13" ht="15" customHeight="1" thickBot="1" x14ac:dyDescent="0.25">
      <c r="A59" s="875"/>
      <c r="B59" s="1306" t="s">
        <v>350</v>
      </c>
      <c r="C59" s="1757"/>
      <c r="D59" s="1757"/>
      <c r="E59" s="1757"/>
      <c r="F59" s="1757">
        <f>SUM(F25)</f>
        <v>0</v>
      </c>
      <c r="G59" s="1757"/>
      <c r="H59" s="1325">
        <f>SUM(H25)</f>
        <v>0</v>
      </c>
      <c r="I59" s="654"/>
      <c r="J59" s="654"/>
      <c r="K59" s="654"/>
      <c r="L59" s="654"/>
      <c r="M59" s="654"/>
    </row>
    <row r="60" spans="1:13" ht="15" customHeight="1" x14ac:dyDescent="0.2">
      <c r="A60" s="2118" t="s">
        <v>178</v>
      </c>
      <c r="B60" s="2119"/>
      <c r="C60" s="890"/>
      <c r="D60" s="890"/>
      <c r="E60" s="890"/>
      <c r="F60" s="890"/>
      <c r="G60" s="1363"/>
      <c r="H60" s="1343"/>
      <c r="I60" s="654"/>
      <c r="J60" s="654"/>
      <c r="K60" s="654"/>
      <c r="L60" s="654"/>
      <c r="M60" s="654"/>
    </row>
    <row r="61" spans="1:13" ht="15" customHeight="1" x14ac:dyDescent="0.2">
      <c r="A61" s="930" t="s">
        <v>225</v>
      </c>
      <c r="B61" s="1295" t="s">
        <v>2</v>
      </c>
      <c r="C61" s="868"/>
      <c r="D61" s="868"/>
      <c r="E61" s="868"/>
      <c r="F61" s="868"/>
      <c r="G61" s="1324"/>
      <c r="H61" s="1361"/>
      <c r="I61" s="654"/>
      <c r="J61" s="654"/>
      <c r="K61" s="654"/>
      <c r="L61" s="654"/>
      <c r="M61" s="654"/>
    </row>
    <row r="62" spans="1:13" ht="15" customHeight="1" x14ac:dyDescent="0.2">
      <c r="A62" s="898"/>
      <c r="B62" s="1304" t="s">
        <v>349</v>
      </c>
      <c r="C62" s="933"/>
      <c r="D62" s="933">
        <f>D21</f>
        <v>10180000</v>
      </c>
      <c r="E62" s="933"/>
      <c r="F62" s="876"/>
      <c r="G62" s="1364"/>
      <c r="H62" s="1365">
        <f t="shared" si="8"/>
        <v>10180000</v>
      </c>
      <c r="I62" s="654"/>
      <c r="J62" s="654"/>
      <c r="K62" s="654"/>
      <c r="L62" s="654"/>
      <c r="M62" s="654"/>
    </row>
    <row r="63" spans="1:13" ht="15" customHeight="1" thickBot="1" x14ac:dyDescent="0.25">
      <c r="A63" s="875"/>
      <c r="B63" s="1306" t="s">
        <v>350</v>
      </c>
      <c r="C63" s="877">
        <f>C22</f>
        <v>0</v>
      </c>
      <c r="D63" s="877">
        <f>D22</f>
        <v>10180000</v>
      </c>
      <c r="E63" s="877"/>
      <c r="F63" s="877"/>
      <c r="G63" s="1332"/>
      <c r="H63" s="1361">
        <f>SUM(C63:F63)</f>
        <v>10180000</v>
      </c>
      <c r="I63" s="654"/>
      <c r="J63" s="654"/>
      <c r="K63" s="654"/>
      <c r="L63" s="654"/>
      <c r="M63" s="654"/>
    </row>
    <row r="64" spans="1:13" ht="15" customHeight="1" thickBot="1" x14ac:dyDescent="0.25">
      <c r="A64" s="2116" t="s">
        <v>94</v>
      </c>
      <c r="B64" s="2117"/>
      <c r="C64" s="878"/>
      <c r="D64" s="878"/>
      <c r="E64" s="878"/>
      <c r="F64" s="878"/>
      <c r="G64" s="1312"/>
      <c r="H64" s="1334"/>
      <c r="I64" s="654"/>
      <c r="J64" s="654"/>
      <c r="K64" s="654"/>
      <c r="L64" s="654"/>
      <c r="M64" s="654"/>
    </row>
    <row r="65" spans="1:13" ht="15" customHeight="1" x14ac:dyDescent="0.2">
      <c r="A65" s="1366"/>
      <c r="B65" s="1367" t="s">
        <v>349</v>
      </c>
      <c r="C65" s="1965">
        <f>C55+C62</f>
        <v>0</v>
      </c>
      <c r="D65" s="1965">
        <f>D55+D62</f>
        <v>10180000</v>
      </c>
      <c r="E65" s="1965">
        <f>E55+E62</f>
        <v>139902000</v>
      </c>
      <c r="F65" s="1965">
        <f>F55+F62</f>
        <v>0</v>
      </c>
      <c r="G65" s="1966">
        <f>SUM(G55)</f>
        <v>0</v>
      </c>
      <c r="H65" s="1967">
        <f>H55+H62</f>
        <v>150082000</v>
      </c>
      <c r="I65" s="654"/>
      <c r="J65" s="654"/>
      <c r="K65" s="654"/>
      <c r="L65" s="654"/>
      <c r="M65" s="654"/>
    </row>
    <row r="66" spans="1:13" ht="15" customHeight="1" x14ac:dyDescent="0.2">
      <c r="A66" s="940"/>
      <c r="B66" s="1368" t="s">
        <v>350</v>
      </c>
      <c r="C66" s="1958">
        <f t="shared" ref="C66:H66" si="9">C56+C63+C59</f>
        <v>0</v>
      </c>
      <c r="D66" s="1958">
        <f t="shared" si="9"/>
        <v>10180000</v>
      </c>
      <c r="E66" s="1958">
        <f t="shared" si="9"/>
        <v>147407191</v>
      </c>
      <c r="F66" s="1958">
        <f t="shared" si="9"/>
        <v>0</v>
      </c>
      <c r="G66" s="1958">
        <f t="shared" si="9"/>
        <v>0</v>
      </c>
      <c r="H66" s="1958">
        <f t="shared" si="9"/>
        <v>157587191</v>
      </c>
      <c r="I66" s="654"/>
      <c r="J66" s="654"/>
      <c r="K66" s="654"/>
      <c r="L66" s="654"/>
      <c r="M66" s="654"/>
    </row>
    <row r="67" spans="1:13" ht="15" customHeight="1" x14ac:dyDescent="0.2">
      <c r="A67" s="654"/>
      <c r="B67" s="709"/>
      <c r="C67" s="709"/>
      <c r="D67" s="709"/>
      <c r="E67" s="709"/>
      <c r="F67" s="709"/>
      <c r="G67" s="709"/>
      <c r="H67" s="654"/>
      <c r="I67" s="654"/>
      <c r="J67" s="654"/>
      <c r="K67" s="654"/>
      <c r="L67" s="654"/>
      <c r="M67" s="654"/>
    </row>
    <row r="68" spans="1:13" ht="12.6" customHeight="1" x14ac:dyDescent="0.2">
      <c r="A68" s="1369"/>
      <c r="B68" s="712"/>
      <c r="C68" s="712"/>
      <c r="D68" s="712"/>
      <c r="E68" s="712"/>
      <c r="F68" s="712"/>
      <c r="G68" s="712"/>
      <c r="H68" s="654"/>
      <c r="I68" s="654"/>
      <c r="J68" s="654"/>
      <c r="K68" s="654"/>
      <c r="L68" s="654"/>
      <c r="M68" s="654"/>
    </row>
    <row r="69" spans="1:13" ht="12.6" customHeight="1" x14ac:dyDescent="0.2">
      <c r="A69" s="654"/>
      <c r="B69" s="654"/>
      <c r="C69" s="654"/>
      <c r="D69" s="654"/>
      <c r="E69" s="654"/>
      <c r="F69" s="654"/>
      <c r="G69" s="654"/>
      <c r="H69" s="654"/>
      <c r="I69" s="654"/>
      <c r="J69" s="654"/>
      <c r="K69" s="654"/>
      <c r="L69" s="654"/>
      <c r="M69" s="654"/>
    </row>
  </sheetData>
  <mergeCells count="10">
    <mergeCell ref="A64:B64"/>
    <mergeCell ref="A60:B60"/>
    <mergeCell ref="A1:H1"/>
    <mergeCell ref="A33:H33"/>
    <mergeCell ref="A35:B35"/>
    <mergeCell ref="A53:B53"/>
    <mergeCell ref="A42:B42"/>
    <mergeCell ref="A15:B15"/>
    <mergeCell ref="A29:B29"/>
    <mergeCell ref="A46:B46"/>
  </mergeCells>
  <phoneticPr fontId="3" type="noConversion"/>
  <pageMargins left="0.7" right="0.7" top="0.75" bottom="0.75" header="0.3" footer="0.3"/>
  <pageSetup paperSize="9" scale="49" orientation="landscape" r:id="rId1"/>
  <headerFooter alignWithMargins="0">
    <oddHeader>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N92"/>
  <sheetViews>
    <sheetView topLeftCell="B1" workbookViewId="0">
      <selection activeCell="J10" sqref="J10"/>
    </sheetView>
  </sheetViews>
  <sheetFormatPr defaultRowHeight="12.75" x14ac:dyDescent="0.2"/>
  <cols>
    <col min="1" max="1" width="0.85546875" style="3" hidden="1" customWidth="1"/>
    <col min="2" max="2" width="0.85546875" style="4" customWidth="1"/>
    <col min="3" max="3" width="32.140625" style="4" customWidth="1"/>
    <col min="4" max="4" width="10.5703125" bestFit="1" customWidth="1"/>
    <col min="5" max="5" width="4.5703125" bestFit="1" customWidth="1"/>
    <col min="6" max="6" width="3.42578125" customWidth="1"/>
    <col min="7" max="7" width="5.28515625" style="1" customWidth="1"/>
    <col min="8" max="8" width="35.140625" style="1" customWidth="1"/>
    <col min="9" max="9" width="22" customWidth="1"/>
    <col min="10" max="10" width="15.140625" customWidth="1"/>
    <col min="11" max="11" width="8.85546875" style="1" customWidth="1"/>
  </cols>
  <sheetData>
    <row r="1" spans="1:14" ht="20.25" thickBot="1" x14ac:dyDescent="0.4">
      <c r="A1" s="26" t="s">
        <v>22</v>
      </c>
      <c r="B1" s="26"/>
      <c r="C1" s="2051" t="s">
        <v>577</v>
      </c>
      <c r="D1" s="2052"/>
      <c r="E1" s="2052"/>
      <c r="F1" s="2052"/>
      <c r="G1" s="2052"/>
      <c r="H1" s="2052"/>
      <c r="I1" s="2052"/>
      <c r="J1" s="2052"/>
      <c r="K1" s="84"/>
    </row>
    <row r="2" spans="1:14" ht="20.25" thickBot="1" x14ac:dyDescent="0.4">
      <c r="A2" s="26"/>
      <c r="B2" s="26"/>
      <c r="C2" s="145"/>
      <c r="D2" s="89"/>
      <c r="E2" s="89"/>
      <c r="F2" s="90"/>
      <c r="G2" s="89"/>
      <c r="H2" s="102"/>
      <c r="I2" s="91"/>
      <c r="J2" s="91"/>
      <c r="K2" s="84"/>
    </row>
    <row r="3" spans="1:14" ht="16.5" thickBot="1" x14ac:dyDescent="0.3">
      <c r="A3" s="4"/>
      <c r="C3" s="92"/>
      <c r="D3" s="342" t="s">
        <v>5</v>
      </c>
      <c r="E3" s="342"/>
      <c r="F3" s="93"/>
      <c r="G3" s="86"/>
      <c r="H3" s="86"/>
      <c r="I3" s="342" t="s">
        <v>106</v>
      </c>
      <c r="J3" s="342"/>
      <c r="K3" s="84"/>
    </row>
    <row r="4" spans="1:14" ht="3" customHeight="1" x14ac:dyDescent="0.25">
      <c r="A4" s="4"/>
      <c r="C4" s="96"/>
      <c r="D4" s="97"/>
      <c r="E4" s="97"/>
      <c r="F4" s="98"/>
      <c r="G4" s="99"/>
      <c r="H4" s="101"/>
      <c r="I4" s="97"/>
      <c r="J4" s="320"/>
      <c r="K4" s="84"/>
    </row>
    <row r="5" spans="1:14" ht="15" customHeight="1" x14ac:dyDescent="0.25">
      <c r="A5" s="4"/>
      <c r="C5" s="480"/>
      <c r="D5" s="347" t="s">
        <v>358</v>
      </c>
      <c r="E5" s="347"/>
      <c r="F5" s="412"/>
      <c r="G5" s="186"/>
      <c r="H5" s="348"/>
      <c r="I5" s="347" t="s">
        <v>358</v>
      </c>
      <c r="J5" s="347" t="s">
        <v>646</v>
      </c>
      <c r="K5" s="84"/>
    </row>
    <row r="6" spans="1:14" ht="15" customHeight="1" x14ac:dyDescent="0.25">
      <c r="A6" s="4"/>
      <c r="C6" s="416"/>
      <c r="D6" s="417"/>
      <c r="E6" s="417"/>
      <c r="F6" s="418"/>
      <c r="G6" s="186"/>
      <c r="H6" s="419" t="s">
        <v>492</v>
      </c>
      <c r="I6" s="625">
        <v>500000</v>
      </c>
      <c r="J6" s="625">
        <v>500000</v>
      </c>
      <c r="K6" s="84"/>
      <c r="N6" s="408"/>
    </row>
    <row r="7" spans="1:14" ht="15" customHeight="1" x14ac:dyDescent="0.25">
      <c r="A7" s="4"/>
      <c r="C7" s="416"/>
      <c r="D7" s="417"/>
      <c r="E7" s="417"/>
      <c r="F7" s="418"/>
      <c r="G7" s="186"/>
      <c r="H7" s="1090" t="s">
        <v>525</v>
      </c>
      <c r="I7" s="625">
        <v>1500000</v>
      </c>
      <c r="J7" s="625">
        <v>1500000</v>
      </c>
      <c r="K7" s="84"/>
      <c r="N7" s="408"/>
    </row>
    <row r="8" spans="1:14" s="1093" customFormat="1" ht="15" customHeight="1" x14ac:dyDescent="0.25">
      <c r="A8" s="4"/>
      <c r="B8" s="4"/>
      <c r="C8" s="416"/>
      <c r="D8" s="417"/>
      <c r="E8" s="417"/>
      <c r="F8" s="418"/>
      <c r="G8" s="186"/>
      <c r="H8" s="1090" t="s">
        <v>547</v>
      </c>
      <c r="I8" s="625">
        <f>2200000</f>
        <v>2200000</v>
      </c>
      <c r="J8" s="625">
        <f>2200000</f>
        <v>2200000</v>
      </c>
      <c r="K8" s="84"/>
      <c r="N8" s="408"/>
    </row>
    <row r="9" spans="1:14" s="1093" customFormat="1" ht="15" customHeight="1" x14ac:dyDescent="0.25">
      <c r="A9" s="4"/>
      <c r="B9" s="4"/>
      <c r="C9" s="416"/>
      <c r="D9" s="417"/>
      <c r="E9" s="417"/>
      <c r="F9" s="418"/>
      <c r="G9" s="186"/>
      <c r="H9" s="1090" t="s">
        <v>624</v>
      </c>
      <c r="I9" s="625">
        <v>1500000</v>
      </c>
      <c r="J9" s="625">
        <v>1500000</v>
      </c>
      <c r="K9" s="84"/>
      <c r="N9" s="408"/>
    </row>
    <row r="10" spans="1:14" ht="15" customHeight="1" thickBot="1" x14ac:dyDescent="0.3">
      <c r="A10" s="4"/>
      <c r="C10" s="413"/>
      <c r="D10" s="414"/>
      <c r="E10" s="414"/>
      <c r="F10" s="415"/>
      <c r="G10" s="186"/>
      <c r="H10" s="1091"/>
      <c r="I10" s="626"/>
      <c r="J10" s="482"/>
      <c r="K10" s="84"/>
      <c r="N10" s="408"/>
    </row>
    <row r="11" spans="1:14" ht="15" customHeight="1" thickBot="1" x14ac:dyDescent="0.3">
      <c r="A11"/>
      <c r="B11" s="272"/>
      <c r="C11" s="94" t="s">
        <v>53</v>
      </c>
      <c r="D11" s="319">
        <f>SUM(D6:D10)</f>
        <v>0</v>
      </c>
      <c r="E11" s="187">
        <f>SUM(E6:E10)</f>
        <v>0</v>
      </c>
      <c r="F11" s="319"/>
      <c r="G11" s="188"/>
      <c r="H11" s="344"/>
      <c r="I11" s="321">
        <f>SUM(I6:I10)</f>
        <v>5700000</v>
      </c>
      <c r="J11" s="321">
        <f>SUM(J6:J10)</f>
        <v>5700000</v>
      </c>
      <c r="K11" s="84"/>
      <c r="N11" s="408"/>
    </row>
    <row r="12" spans="1:14" ht="15" customHeight="1" thickBot="1" x14ac:dyDescent="0.3">
      <c r="A12"/>
      <c r="B12"/>
      <c r="C12" s="322" t="s">
        <v>359</v>
      </c>
      <c r="D12" s="227"/>
      <c r="E12" s="188"/>
      <c r="F12" s="189"/>
      <c r="G12" s="189"/>
      <c r="H12" s="323"/>
      <c r="I12" s="345">
        <f>SUM(I11+D11)</f>
        <v>5700000</v>
      </c>
      <c r="J12" s="346"/>
      <c r="K12" s="84"/>
      <c r="N12" s="408"/>
    </row>
    <row r="13" spans="1:14" ht="0.2" customHeight="1" thickBot="1" x14ac:dyDescent="0.3">
      <c r="A13"/>
      <c r="B13"/>
      <c r="C13" s="322" t="s">
        <v>360</v>
      </c>
      <c r="D13" s="227"/>
      <c r="E13" s="188"/>
      <c r="F13" s="189"/>
      <c r="G13" s="189"/>
      <c r="H13" s="323"/>
      <c r="I13" s="189"/>
      <c r="J13" s="346">
        <f>SUM(J11+E11)</f>
        <v>5700000</v>
      </c>
      <c r="K13" s="84"/>
      <c r="N13" s="408"/>
    </row>
    <row r="14" spans="1:14" s="469" customFormat="1" ht="0.2" customHeight="1" thickBot="1" x14ac:dyDescent="0.3">
      <c r="C14" s="491" t="s">
        <v>416</v>
      </c>
      <c r="D14" s="485"/>
      <c r="E14" s="484"/>
      <c r="F14" s="486"/>
      <c r="G14" s="486"/>
      <c r="H14" s="487"/>
      <c r="I14" s="486"/>
      <c r="J14" s="488"/>
      <c r="K14" s="492"/>
    </row>
    <row r="15" spans="1:14" s="20" customFormat="1" ht="15" customHeight="1" x14ac:dyDescent="0.25">
      <c r="A15" s="19" t="s">
        <v>6</v>
      </c>
      <c r="B15" s="19"/>
      <c r="C15"/>
      <c r="D15"/>
      <c r="E15"/>
      <c r="F15" s="27"/>
      <c r="G15" s="28"/>
      <c r="H15" s="28"/>
      <c r="I15"/>
      <c r="J15"/>
      <c r="K15" s="21"/>
    </row>
    <row r="16" spans="1:14" ht="15" customHeight="1" x14ac:dyDescent="0.25">
      <c r="A16"/>
      <c r="B16"/>
      <c r="C16" s="19"/>
      <c r="D16" s="20"/>
      <c r="E16" s="20"/>
      <c r="F16" s="6"/>
    </row>
    <row r="17" spans="1:8" x14ac:dyDescent="0.2">
      <c r="C17"/>
      <c r="D17" s="1"/>
      <c r="E17" s="1"/>
      <c r="F17" s="16"/>
      <c r="G17"/>
      <c r="H17"/>
    </row>
    <row r="18" spans="1:8" x14ac:dyDescent="0.2">
      <c r="A18" s="5"/>
      <c r="B18" s="5"/>
    </row>
    <row r="19" spans="1:8" x14ac:dyDescent="0.2">
      <c r="A19" s="7"/>
      <c r="B19" s="7"/>
      <c r="C19" s="5"/>
    </row>
    <row r="20" spans="1:8" x14ac:dyDescent="0.2">
      <c r="A20" s="7"/>
      <c r="B20" s="7"/>
      <c r="C20" s="7"/>
    </row>
    <row r="21" spans="1:8" x14ac:dyDescent="0.2">
      <c r="A21" s="7"/>
      <c r="B21" s="7"/>
      <c r="C21" s="7"/>
    </row>
    <row r="22" spans="1:8" x14ac:dyDescent="0.2">
      <c r="A22" s="7"/>
      <c r="B22" s="7"/>
      <c r="C22" s="7"/>
    </row>
    <row r="23" spans="1:8" x14ac:dyDescent="0.2">
      <c r="A23" s="7"/>
      <c r="B23" s="7"/>
      <c r="C23" s="7"/>
    </row>
    <row r="24" spans="1:8" x14ac:dyDescent="0.2">
      <c r="A24" s="7"/>
      <c r="B24" s="7"/>
      <c r="C24" s="7"/>
    </row>
    <row r="25" spans="1:8" x14ac:dyDescent="0.2">
      <c r="A25" s="7"/>
      <c r="B25" s="7"/>
      <c r="C25" s="7"/>
    </row>
    <row r="26" spans="1:8" x14ac:dyDescent="0.2">
      <c r="A26" s="7"/>
      <c r="B26" s="7"/>
      <c r="C26" s="7"/>
    </row>
    <row r="27" spans="1:8" x14ac:dyDescent="0.2">
      <c r="A27" s="7"/>
      <c r="B27" s="7"/>
      <c r="C27" s="7"/>
    </row>
    <row r="28" spans="1:8" x14ac:dyDescent="0.2">
      <c r="A28" s="7"/>
      <c r="B28" s="7"/>
      <c r="C28" s="7"/>
    </row>
    <row r="29" spans="1:8" x14ac:dyDescent="0.2">
      <c r="A29" s="7"/>
      <c r="B29" s="7"/>
      <c r="C29" s="7"/>
    </row>
    <row r="30" spans="1:8" x14ac:dyDescent="0.2">
      <c r="A30" s="7"/>
      <c r="B30" s="7"/>
      <c r="C30" s="7"/>
    </row>
    <row r="31" spans="1:8" x14ac:dyDescent="0.2">
      <c r="A31" s="7"/>
      <c r="B31" s="7"/>
      <c r="C31" s="7"/>
    </row>
    <row r="32" spans="1:8" x14ac:dyDescent="0.2">
      <c r="A32" s="7"/>
      <c r="B32" s="7"/>
      <c r="C32" s="7"/>
    </row>
    <row r="33" spans="1:11" x14ac:dyDescent="0.2">
      <c r="A33" s="7"/>
      <c r="B33" s="7"/>
      <c r="C33" s="7"/>
    </row>
    <row r="34" spans="1:11" x14ac:dyDescent="0.2">
      <c r="A34" s="7"/>
      <c r="B34" s="7"/>
      <c r="C34" s="7"/>
    </row>
    <row r="35" spans="1:11" x14ac:dyDescent="0.2">
      <c r="A35" s="7"/>
      <c r="B35" s="7"/>
      <c r="C35" s="7"/>
    </row>
    <row r="36" spans="1:11" x14ac:dyDescent="0.2">
      <c r="A36" s="7"/>
      <c r="B36" s="7"/>
      <c r="C36" s="7"/>
    </row>
    <row r="37" spans="1:11" x14ac:dyDescent="0.2">
      <c r="A37" s="6"/>
      <c r="B37" s="6"/>
      <c r="C37" s="7"/>
    </row>
    <row r="38" spans="1:11" x14ac:dyDescent="0.2">
      <c r="A38" s="1"/>
      <c r="B38" s="1"/>
      <c r="C38" s="6"/>
    </row>
    <row r="39" spans="1:11" x14ac:dyDescent="0.2">
      <c r="A39" s="17"/>
      <c r="B39" s="17"/>
      <c r="C39" s="1"/>
    </row>
    <row r="40" spans="1:11" x14ac:dyDescent="0.2">
      <c r="A40" s="17"/>
      <c r="B40" s="17"/>
      <c r="C40" s="17"/>
    </row>
    <row r="41" spans="1:11" x14ac:dyDescent="0.2">
      <c r="A41" s="17"/>
      <c r="B41" s="17"/>
      <c r="C41" s="17"/>
    </row>
    <row r="42" spans="1:11" s="2" customFormat="1" ht="15.75" x14ac:dyDescent="0.25">
      <c r="A42" s="18"/>
      <c r="B42" s="18"/>
      <c r="C42" s="17"/>
      <c r="D42"/>
      <c r="E42"/>
      <c r="F42"/>
      <c r="G42" s="1"/>
      <c r="H42" s="1"/>
      <c r="I42"/>
      <c r="J42"/>
      <c r="K42" s="1"/>
    </row>
    <row r="43" spans="1:11" ht="15.75" x14ac:dyDescent="0.25">
      <c r="A43" s="17"/>
      <c r="B43" s="17"/>
      <c r="C43" s="18"/>
    </row>
    <row r="44" spans="1:11" x14ac:dyDescent="0.2">
      <c r="A44"/>
      <c r="B44"/>
      <c r="C44" s="17"/>
    </row>
    <row r="45" spans="1:11" x14ac:dyDescent="0.2">
      <c r="A45"/>
      <c r="B45"/>
      <c r="C45"/>
    </row>
    <row r="46" spans="1:11" x14ac:dyDescent="0.2">
      <c r="A46"/>
      <c r="B46"/>
      <c r="C46"/>
    </row>
    <row r="47" spans="1:11" x14ac:dyDescent="0.2">
      <c r="A47"/>
      <c r="B47"/>
      <c r="C47"/>
    </row>
    <row r="48" spans="1:11" x14ac:dyDescent="0.2">
      <c r="A48"/>
      <c r="B48"/>
      <c r="C48"/>
    </row>
    <row r="49" spans="1:11" x14ac:dyDescent="0.2">
      <c r="A49" s="17"/>
      <c r="B49" s="17"/>
      <c r="C49"/>
    </row>
    <row r="50" spans="1:11" x14ac:dyDescent="0.2">
      <c r="A50" s="17"/>
      <c r="B50" s="17"/>
      <c r="C50" s="17"/>
    </row>
    <row r="51" spans="1:11" ht="15.75" x14ac:dyDescent="0.25">
      <c r="A51" s="17"/>
      <c r="B51" s="17"/>
      <c r="C51" s="17"/>
      <c r="K51" s="2"/>
    </row>
    <row r="52" spans="1:11" x14ac:dyDescent="0.2">
      <c r="A52" s="17"/>
      <c r="B52" s="17"/>
      <c r="C52" s="17"/>
    </row>
    <row r="53" spans="1:11" x14ac:dyDescent="0.2">
      <c r="A53" s="17"/>
      <c r="B53" s="17"/>
      <c r="C53" s="17"/>
    </row>
    <row r="54" spans="1:11" x14ac:dyDescent="0.2">
      <c r="A54" s="4"/>
      <c r="C54" s="17"/>
    </row>
    <row r="55" spans="1:11" x14ac:dyDescent="0.2">
      <c r="A55" s="4"/>
    </row>
    <row r="56" spans="1:11" x14ac:dyDescent="0.2">
      <c r="A56" s="4"/>
    </row>
    <row r="57" spans="1:11" x14ac:dyDescent="0.2">
      <c r="A57" s="23"/>
    </row>
    <row r="58" spans="1:11" x14ac:dyDescent="0.2">
      <c r="A58" s="23"/>
    </row>
    <row r="59" spans="1:11" x14ac:dyDescent="0.2">
      <c r="A59" s="23"/>
    </row>
    <row r="60" spans="1:11" x14ac:dyDescent="0.2">
      <c r="A60" s="23"/>
    </row>
    <row r="61" spans="1:11" x14ac:dyDescent="0.2">
      <c r="A61" s="23"/>
    </row>
    <row r="62" spans="1:11" x14ac:dyDescent="0.2">
      <c r="A62" s="23"/>
    </row>
    <row r="63" spans="1:11" x14ac:dyDescent="0.2">
      <c r="A63" s="23"/>
    </row>
    <row r="64" spans="1:11" x14ac:dyDescent="0.2">
      <c r="A64" s="23"/>
    </row>
    <row r="65" spans="1:1" x14ac:dyDescent="0.2">
      <c r="A65" s="23"/>
    </row>
    <row r="66" spans="1:1" x14ac:dyDescent="0.2">
      <c r="A66" s="23"/>
    </row>
    <row r="67" spans="1:1" x14ac:dyDescent="0.2">
      <c r="A67" s="23"/>
    </row>
    <row r="68" spans="1:1" x14ac:dyDescent="0.2">
      <c r="A68" s="23"/>
    </row>
    <row r="69" spans="1:1" x14ac:dyDescent="0.2">
      <c r="A69" s="23"/>
    </row>
    <row r="70" spans="1:1" x14ac:dyDescent="0.2">
      <c r="A70" s="23"/>
    </row>
    <row r="71" spans="1:1" x14ac:dyDescent="0.2">
      <c r="A71" s="23"/>
    </row>
    <row r="72" spans="1:1" x14ac:dyDescent="0.2">
      <c r="A72" s="23"/>
    </row>
    <row r="73" spans="1:1" x14ac:dyDescent="0.2">
      <c r="A73" s="23"/>
    </row>
    <row r="74" spans="1:1" x14ac:dyDescent="0.2">
      <c r="A74" s="23"/>
    </row>
    <row r="75" spans="1:1" x14ac:dyDescent="0.2">
      <c r="A75" s="23"/>
    </row>
    <row r="76" spans="1:1" x14ac:dyDescent="0.2">
      <c r="A76" s="23"/>
    </row>
    <row r="77" spans="1:1" x14ac:dyDescent="0.2">
      <c r="A77" s="23"/>
    </row>
    <row r="78" spans="1:1" x14ac:dyDescent="0.2">
      <c r="A78" s="23"/>
    </row>
    <row r="79" spans="1:1" x14ac:dyDescent="0.2">
      <c r="A79" s="23"/>
    </row>
    <row r="80" spans="1:1" x14ac:dyDescent="0.2">
      <c r="A80" s="23"/>
    </row>
    <row r="81" spans="1:1" x14ac:dyDescent="0.2">
      <c r="A81" s="23"/>
    </row>
    <row r="82" spans="1:1" x14ac:dyDescent="0.2">
      <c r="A82" s="23"/>
    </row>
    <row r="83" spans="1:1" x14ac:dyDescent="0.2">
      <c r="A83" s="23"/>
    </row>
    <row r="84" spans="1:1" x14ac:dyDescent="0.2">
      <c r="A84" s="23"/>
    </row>
    <row r="85" spans="1:1" x14ac:dyDescent="0.2">
      <c r="A85" s="23"/>
    </row>
    <row r="86" spans="1:1" x14ac:dyDescent="0.2">
      <c r="A86" s="23"/>
    </row>
    <row r="87" spans="1:1" x14ac:dyDescent="0.2">
      <c r="A87" s="23"/>
    </row>
    <row r="88" spans="1:1" x14ac:dyDescent="0.2">
      <c r="A88" s="23"/>
    </row>
    <row r="89" spans="1:1" x14ac:dyDescent="0.2">
      <c r="A89" s="23"/>
    </row>
    <row r="90" spans="1:1" x14ac:dyDescent="0.2">
      <c r="A90" s="22"/>
    </row>
    <row r="91" spans="1:1" x14ac:dyDescent="0.2">
      <c r="A91" s="22"/>
    </row>
    <row r="92" spans="1:1" x14ac:dyDescent="0.2">
      <c r="A92" s="22"/>
    </row>
  </sheetData>
  <mergeCells count="1">
    <mergeCell ref="C1:J1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7">
    <pageSetUpPr fitToPage="1"/>
  </sheetPr>
  <dimension ref="A1:J80"/>
  <sheetViews>
    <sheetView workbookViewId="0">
      <selection sqref="A1:G37"/>
    </sheetView>
  </sheetViews>
  <sheetFormatPr defaultColWidth="9.140625" defaultRowHeight="12.75" x14ac:dyDescent="0.2"/>
  <cols>
    <col min="1" max="1" width="12.7109375" style="707" customWidth="1"/>
    <col min="2" max="2" width="39.5703125" style="654" customWidth="1"/>
    <col min="3" max="3" width="19.7109375" style="654" bestFit="1" customWidth="1"/>
    <col min="4" max="4" width="16.140625" style="654" customWidth="1"/>
    <col min="5" max="5" width="20.42578125" style="654" customWidth="1"/>
    <col min="6" max="6" width="14.85546875" style="654" customWidth="1"/>
    <col min="7" max="7" width="18.140625" style="654" customWidth="1"/>
    <col min="8" max="8" width="9.140625" style="654"/>
    <col min="9" max="10" width="10.85546875" style="654" bestFit="1" customWidth="1"/>
    <col min="11" max="16384" width="9.140625" style="654"/>
  </cols>
  <sheetData>
    <row r="1" spans="1:8" ht="35.25" customHeight="1" thickBot="1" x14ac:dyDescent="0.3">
      <c r="A1" s="2120" t="s">
        <v>578</v>
      </c>
      <c r="B1" s="2121"/>
      <c r="C1" s="2121"/>
      <c r="D1" s="2121"/>
      <c r="E1" s="2121"/>
      <c r="F1" s="2121"/>
      <c r="G1" s="2122"/>
    </row>
    <row r="2" spans="1:8" ht="0.75" customHeight="1" x14ac:dyDescent="0.25">
      <c r="A2" s="655"/>
      <c r="B2" s="656"/>
      <c r="G2" s="862"/>
    </row>
    <row r="3" spans="1:8" ht="0.75" customHeight="1" x14ac:dyDescent="0.2">
      <c r="A3" s="657"/>
      <c r="G3" s="862"/>
    </row>
    <row r="4" spans="1:8" ht="0.75" customHeight="1" x14ac:dyDescent="0.2">
      <c r="A4" s="657"/>
      <c r="G4" s="862"/>
      <c r="H4" s="654" t="s">
        <v>52</v>
      </c>
    </row>
    <row r="5" spans="1:8" ht="31.5" customHeight="1" x14ac:dyDescent="0.2">
      <c r="A5" s="863" t="s">
        <v>224</v>
      </c>
      <c r="B5" s="864" t="s">
        <v>220</v>
      </c>
      <c r="C5" s="865" t="s">
        <v>57</v>
      </c>
      <c r="D5" s="865" t="s">
        <v>90</v>
      </c>
      <c r="E5" s="865" t="s">
        <v>91</v>
      </c>
      <c r="F5" s="865" t="s">
        <v>309</v>
      </c>
      <c r="G5" s="866" t="s">
        <v>53</v>
      </c>
    </row>
    <row r="6" spans="1:8" ht="15" customHeight="1" x14ac:dyDescent="0.2">
      <c r="A6" s="681" t="s">
        <v>227</v>
      </c>
      <c r="B6" s="867" t="s">
        <v>228</v>
      </c>
      <c r="C6" s="868"/>
      <c r="D6" s="868"/>
      <c r="E6" s="868"/>
      <c r="F6" s="868"/>
      <c r="G6" s="869"/>
    </row>
    <row r="7" spans="1:8" ht="15" customHeight="1" x14ac:dyDescent="0.2">
      <c r="A7" s="875"/>
      <c r="B7" s="907" t="s">
        <v>349</v>
      </c>
      <c r="C7" s="877">
        <v>106460000</v>
      </c>
      <c r="D7" s="877">
        <v>19116000</v>
      </c>
      <c r="E7" s="877">
        <v>3500000</v>
      </c>
      <c r="F7" s="877">
        <f>'14.a.sz. melléklet'!H14+'14.a.sz. melléklet'!H15+'14.a.sz. melléklet'!H16+'14.a.sz. melléklet'!H17+'14.a.sz. melléklet'!H18</f>
        <v>1463000</v>
      </c>
      <c r="G7" s="1377">
        <f t="shared" ref="G7:G17" si="0">SUM(C7:F7)</f>
        <v>130539000</v>
      </c>
    </row>
    <row r="8" spans="1:8" ht="15" customHeight="1" thickBot="1" x14ac:dyDescent="0.25">
      <c r="A8" s="1755"/>
      <c r="B8" s="1765" t="s">
        <v>350</v>
      </c>
      <c r="C8" s="1757">
        <f>SUM(C7)+6811200</f>
        <v>113271200</v>
      </c>
      <c r="D8" s="1757">
        <f>SUM(D7)+1192000</f>
        <v>20308000</v>
      </c>
      <c r="E8" s="1757">
        <f t="shared" ref="E8:F8" si="1">SUM(E7)</f>
        <v>3500000</v>
      </c>
      <c r="F8" s="1757">
        <f t="shared" si="1"/>
        <v>1463000</v>
      </c>
      <c r="G8" s="1861">
        <f t="shared" si="0"/>
        <v>138542200</v>
      </c>
    </row>
    <row r="9" spans="1:8" ht="21.75" x14ac:dyDescent="0.2">
      <c r="A9" s="681" t="s">
        <v>231</v>
      </c>
      <c r="B9" s="867" t="s">
        <v>368</v>
      </c>
      <c r="C9" s="868"/>
      <c r="D9" s="868"/>
      <c r="E9" s="868"/>
      <c r="F9" s="868"/>
      <c r="G9" s="872"/>
    </row>
    <row r="10" spans="1:8" ht="15" customHeight="1" x14ac:dyDescent="0.2">
      <c r="A10" s="875"/>
      <c r="B10" s="907" t="s">
        <v>349</v>
      </c>
      <c r="C10" s="877"/>
      <c r="D10" s="877">
        <v>392000</v>
      </c>
      <c r="E10" s="877">
        <v>2290000</v>
      </c>
      <c r="F10" s="877"/>
      <c r="G10" s="1377">
        <f t="shared" si="0"/>
        <v>2682000</v>
      </c>
    </row>
    <row r="11" spans="1:8" ht="15" customHeight="1" thickBot="1" x14ac:dyDescent="0.25">
      <c r="A11" s="1862"/>
      <c r="B11" s="1863" t="s">
        <v>350</v>
      </c>
      <c r="C11" s="1864"/>
      <c r="D11" s="1864">
        <f>SUM(D10)</f>
        <v>392000</v>
      </c>
      <c r="E11" s="1864">
        <f>SUM(E10)</f>
        <v>2290000</v>
      </c>
      <c r="F11" s="1864"/>
      <c r="G11" s="1865">
        <f t="shared" si="0"/>
        <v>2682000</v>
      </c>
    </row>
    <row r="12" spans="1:8" ht="15" customHeight="1" x14ac:dyDescent="0.2">
      <c r="A12" s="681" t="s">
        <v>229</v>
      </c>
      <c r="B12" s="867" t="s">
        <v>230</v>
      </c>
      <c r="C12" s="868"/>
      <c r="D12" s="868"/>
      <c r="E12" s="868"/>
      <c r="F12" s="868"/>
      <c r="G12" s="872"/>
    </row>
    <row r="13" spans="1:8" ht="15" customHeight="1" x14ac:dyDescent="0.2">
      <c r="A13" s="875"/>
      <c r="B13" s="907" t="s">
        <v>349</v>
      </c>
      <c r="C13" s="877">
        <v>2457000</v>
      </c>
      <c r="D13" s="877">
        <v>523000</v>
      </c>
      <c r="E13" s="877">
        <v>14797000</v>
      </c>
      <c r="F13" s="877">
        <f>'14.a.sz. melléklet'!H7+'14.a.sz. melléklet'!H8+'14.a.sz. melléklet'!H9+'14.a.sz. melléklet'!H10+'14.a.sz. melléklet'!H11</f>
        <v>1990000</v>
      </c>
      <c r="G13" s="1377">
        <f t="shared" si="0"/>
        <v>19767000</v>
      </c>
    </row>
    <row r="14" spans="1:8" ht="15" customHeight="1" thickBot="1" x14ac:dyDescent="0.25">
      <c r="A14" s="1862"/>
      <c r="B14" s="1863" t="s">
        <v>350</v>
      </c>
      <c r="C14" s="1864">
        <f>SUM(C13)+160800</f>
        <v>2617800</v>
      </c>
      <c r="D14" s="1864">
        <f>SUM(D13)+28200+2000000</f>
        <v>2551200</v>
      </c>
      <c r="E14" s="1864">
        <f t="shared" ref="E14:F14" si="2">SUM(E13)</f>
        <v>14797000</v>
      </c>
      <c r="F14" s="1864">
        <f t="shared" si="2"/>
        <v>1990000</v>
      </c>
      <c r="G14" s="1865">
        <f t="shared" si="0"/>
        <v>21956000</v>
      </c>
    </row>
    <row r="15" spans="1:8" ht="15" customHeight="1" x14ac:dyDescent="0.2">
      <c r="A15" s="681" t="s">
        <v>377</v>
      </c>
      <c r="B15" s="867" t="s">
        <v>378</v>
      </c>
      <c r="C15" s="868"/>
      <c r="D15" s="868"/>
      <c r="E15" s="868"/>
      <c r="F15" s="868"/>
      <c r="G15" s="872"/>
    </row>
    <row r="16" spans="1:8" ht="15" customHeight="1" x14ac:dyDescent="0.2">
      <c r="A16" s="875"/>
      <c r="B16" s="871" t="s">
        <v>349</v>
      </c>
      <c r="C16" s="877">
        <v>4910000</v>
      </c>
      <c r="D16" s="877">
        <v>878000</v>
      </c>
      <c r="E16" s="877">
        <v>31002000</v>
      </c>
      <c r="F16" s="877">
        <f>'14.a.sz. melléklet'!H12+'14.a.sz. melléklet'!H13</f>
        <v>210000</v>
      </c>
      <c r="G16" s="872">
        <f t="shared" si="0"/>
        <v>37000000</v>
      </c>
    </row>
    <row r="17" spans="1:10" ht="15" customHeight="1" thickBot="1" x14ac:dyDescent="0.25">
      <c r="A17" s="875"/>
      <c r="B17" s="871" t="s">
        <v>350</v>
      </c>
      <c r="C17" s="1864">
        <f>4910000+306000</f>
        <v>5216000</v>
      </c>
      <c r="D17" s="1864">
        <f>878000+54000</f>
        <v>932000</v>
      </c>
      <c r="E17" s="1864">
        <v>31002000</v>
      </c>
      <c r="F17" s="1864">
        <f>F16</f>
        <v>210000</v>
      </c>
      <c r="G17" s="872">
        <f t="shared" si="0"/>
        <v>37360000</v>
      </c>
    </row>
    <row r="18" spans="1:10" ht="15" customHeight="1" thickBot="1" x14ac:dyDescent="0.25">
      <c r="A18" s="2116" t="s">
        <v>92</v>
      </c>
      <c r="B18" s="2132"/>
      <c r="C18" s="878"/>
      <c r="D18" s="878"/>
      <c r="E18" s="878"/>
      <c r="F18" s="878"/>
      <c r="G18" s="879"/>
      <c r="H18" s="880"/>
    </row>
    <row r="19" spans="1:10" ht="15" customHeight="1" x14ac:dyDescent="0.2">
      <c r="A19" s="1378"/>
      <c r="B19" s="1379" t="s">
        <v>349</v>
      </c>
      <c r="C19" s="1752">
        <f t="shared" ref="C19:G20" si="3">C7+C10+C13+C16</f>
        <v>113827000</v>
      </c>
      <c r="D19" s="1752">
        <f t="shared" si="3"/>
        <v>20909000</v>
      </c>
      <c r="E19" s="1752">
        <f t="shared" si="3"/>
        <v>51589000</v>
      </c>
      <c r="F19" s="1752">
        <f t="shared" si="3"/>
        <v>3663000</v>
      </c>
      <c r="G19" s="1752">
        <f t="shared" si="3"/>
        <v>189988000</v>
      </c>
      <c r="H19" s="880"/>
      <c r="I19" s="1092"/>
      <c r="J19" s="1092"/>
    </row>
    <row r="20" spans="1:10" ht="15" customHeight="1" x14ac:dyDescent="0.2">
      <c r="A20" s="881"/>
      <c r="B20" s="882" t="s">
        <v>350</v>
      </c>
      <c r="C20" s="1752">
        <f t="shared" si="3"/>
        <v>121105000</v>
      </c>
      <c r="D20" s="1752">
        <f t="shared" si="3"/>
        <v>24183200</v>
      </c>
      <c r="E20" s="1752">
        <f t="shared" si="3"/>
        <v>51589000</v>
      </c>
      <c r="F20" s="1752">
        <f t="shared" si="3"/>
        <v>3663000</v>
      </c>
      <c r="G20" s="1955">
        <f t="shared" si="3"/>
        <v>200540200</v>
      </c>
      <c r="H20" s="880"/>
    </row>
    <row r="21" spans="1:10" ht="15" customHeight="1" x14ac:dyDescent="0.2">
      <c r="A21" s="658"/>
      <c r="B21" s="659"/>
      <c r="C21" s="880"/>
      <c r="D21" s="880"/>
      <c r="E21" s="880"/>
      <c r="F21" s="880"/>
      <c r="G21" s="885"/>
    </row>
    <row r="22" spans="1:10" ht="31.5" x14ac:dyDescent="0.2">
      <c r="A22" s="863" t="s">
        <v>224</v>
      </c>
      <c r="B22" s="864" t="s">
        <v>220</v>
      </c>
      <c r="C22" s="886" t="s">
        <v>93</v>
      </c>
      <c r="D22" s="886" t="s">
        <v>95</v>
      </c>
      <c r="E22" s="886" t="s">
        <v>282</v>
      </c>
      <c r="F22" s="886" t="s">
        <v>379</v>
      </c>
      <c r="G22" s="887"/>
    </row>
    <row r="23" spans="1:10" ht="15" customHeight="1" x14ac:dyDescent="0.2">
      <c r="A23" s="888" t="s">
        <v>278</v>
      </c>
      <c r="B23" s="889" t="s">
        <v>280</v>
      </c>
      <c r="C23" s="890"/>
      <c r="D23" s="890"/>
      <c r="E23" s="890"/>
      <c r="F23" s="890"/>
      <c r="G23" s="891"/>
    </row>
    <row r="24" spans="1:10" ht="15" customHeight="1" x14ac:dyDescent="0.2">
      <c r="A24" s="1380"/>
      <c r="B24" s="907" t="s">
        <v>349</v>
      </c>
      <c r="C24" s="1342"/>
      <c r="D24" s="1342"/>
      <c r="E24" s="1342">
        <f>SUM(G19-C36-D36)</f>
        <v>185830000</v>
      </c>
      <c r="F24" s="1342"/>
      <c r="G24" s="929">
        <f t="shared" ref="G24:G34" si="4">SUM(C24:F24)</f>
        <v>185830000</v>
      </c>
    </row>
    <row r="25" spans="1:10" ht="15" customHeight="1" thickBot="1" x14ac:dyDescent="0.25">
      <c r="A25" s="1766"/>
      <c r="B25" s="1765" t="s">
        <v>350</v>
      </c>
      <c r="C25" s="892"/>
      <c r="D25" s="892"/>
      <c r="E25" s="892">
        <f>SUM(G20-G28-G31-G34)</f>
        <v>196382200</v>
      </c>
      <c r="F25" s="892"/>
      <c r="G25" s="893">
        <f t="shared" si="4"/>
        <v>196382200</v>
      </c>
    </row>
    <row r="26" spans="1:10" ht="15" customHeight="1" x14ac:dyDescent="0.2">
      <c r="A26" s="681" t="s">
        <v>227</v>
      </c>
      <c r="B26" s="867" t="s">
        <v>228</v>
      </c>
      <c r="C26" s="868"/>
      <c r="D26" s="868"/>
      <c r="E26" s="868"/>
      <c r="F26" s="868"/>
      <c r="G26" s="896"/>
    </row>
    <row r="27" spans="1:10" ht="15" customHeight="1" x14ac:dyDescent="0.2">
      <c r="A27" s="875"/>
      <c r="B27" s="907" t="s">
        <v>349</v>
      </c>
      <c r="C27" s="877"/>
      <c r="D27" s="877"/>
      <c r="E27" s="877"/>
      <c r="F27" s="877"/>
      <c r="G27" s="908">
        <f t="shared" ref="G27:G28" si="5">SUM(C27:F27)</f>
        <v>0</v>
      </c>
    </row>
    <row r="28" spans="1:10" ht="15" customHeight="1" thickBot="1" x14ac:dyDescent="0.25">
      <c r="A28" s="1862"/>
      <c r="B28" s="1863" t="s">
        <v>350</v>
      </c>
      <c r="C28" s="1864"/>
      <c r="D28" s="1864"/>
      <c r="E28" s="1864"/>
      <c r="F28" s="1864"/>
      <c r="G28" s="914">
        <f t="shared" si="5"/>
        <v>0</v>
      </c>
    </row>
    <row r="29" spans="1:10" ht="15" customHeight="1" x14ac:dyDescent="0.2">
      <c r="A29" s="681" t="s">
        <v>229</v>
      </c>
      <c r="B29" s="867" t="s">
        <v>230</v>
      </c>
      <c r="C29" s="868"/>
      <c r="D29" s="868"/>
      <c r="E29" s="868"/>
      <c r="F29" s="868"/>
      <c r="G29" s="896"/>
    </row>
    <row r="30" spans="1:10" ht="15" customHeight="1" x14ac:dyDescent="0.2">
      <c r="A30" s="875"/>
      <c r="B30" s="907" t="s">
        <v>349</v>
      </c>
      <c r="C30" s="877"/>
      <c r="D30" s="877"/>
      <c r="E30" s="877"/>
      <c r="F30" s="877"/>
      <c r="G30" s="908">
        <f t="shared" ref="G30:G31" si="6">SUM(C30:F30)</f>
        <v>0</v>
      </c>
    </row>
    <row r="31" spans="1:10" ht="15" customHeight="1" thickBot="1" x14ac:dyDescent="0.25">
      <c r="A31" s="1862"/>
      <c r="B31" s="1863" t="s">
        <v>350</v>
      </c>
      <c r="C31" s="1864"/>
      <c r="D31" s="1864"/>
      <c r="E31" s="1864"/>
      <c r="F31" s="1864"/>
      <c r="G31" s="914">
        <f t="shared" si="6"/>
        <v>0</v>
      </c>
    </row>
    <row r="32" spans="1:10" ht="15" customHeight="1" x14ac:dyDescent="0.2">
      <c r="A32" s="681" t="s">
        <v>377</v>
      </c>
      <c r="B32" s="867" t="s">
        <v>378</v>
      </c>
      <c r="C32" s="868"/>
      <c r="D32" s="868"/>
      <c r="E32" s="868"/>
      <c r="F32" s="868"/>
      <c r="G32" s="894"/>
      <c r="H32" s="880"/>
    </row>
    <row r="33" spans="1:8" ht="15" customHeight="1" x14ac:dyDescent="0.2">
      <c r="A33" s="870"/>
      <c r="B33" s="871" t="s">
        <v>349</v>
      </c>
      <c r="C33" s="868">
        <v>4158000</v>
      </c>
      <c r="D33" s="868"/>
      <c r="E33" s="868"/>
      <c r="F33" s="868"/>
      <c r="G33" s="894">
        <f t="shared" si="4"/>
        <v>4158000</v>
      </c>
      <c r="H33" s="880"/>
    </row>
    <row r="34" spans="1:8" ht="15" customHeight="1" thickBot="1" x14ac:dyDescent="0.25">
      <c r="A34" s="870"/>
      <c r="B34" s="871" t="s">
        <v>350</v>
      </c>
      <c r="C34" s="868">
        <f>SUM(C33)</f>
        <v>4158000</v>
      </c>
      <c r="D34" s="868"/>
      <c r="E34" s="868"/>
      <c r="F34" s="868"/>
      <c r="G34" s="899">
        <f t="shared" si="4"/>
        <v>4158000</v>
      </c>
      <c r="H34" s="880"/>
    </row>
    <row r="35" spans="1:8" ht="15" customHeight="1" thickBot="1" x14ac:dyDescent="0.25">
      <c r="A35" s="2116" t="s">
        <v>94</v>
      </c>
      <c r="B35" s="2132"/>
      <c r="C35" s="878"/>
      <c r="D35" s="878"/>
      <c r="E35" s="878"/>
      <c r="F35" s="878"/>
      <c r="G35" s="900"/>
      <c r="H35" s="880"/>
    </row>
    <row r="36" spans="1:8" ht="15" customHeight="1" x14ac:dyDescent="0.2">
      <c r="A36" s="901"/>
      <c r="B36" s="902" t="s">
        <v>349</v>
      </c>
      <c r="C36" s="1960">
        <f t="shared" ref="C36:G37" si="7">C24+C33</f>
        <v>4158000</v>
      </c>
      <c r="D36" s="1960">
        <f t="shared" si="7"/>
        <v>0</v>
      </c>
      <c r="E36" s="1960">
        <f t="shared" si="7"/>
        <v>185830000</v>
      </c>
      <c r="F36" s="1960">
        <f t="shared" si="7"/>
        <v>0</v>
      </c>
      <c r="G36" s="1961">
        <f t="shared" si="7"/>
        <v>189988000</v>
      </c>
      <c r="H36" s="880"/>
    </row>
    <row r="37" spans="1:8" ht="15" customHeight="1" x14ac:dyDescent="0.2">
      <c r="A37" s="903"/>
      <c r="B37" s="904" t="s">
        <v>350</v>
      </c>
      <c r="C37" s="1950">
        <f>C25+C34</f>
        <v>4158000</v>
      </c>
      <c r="D37" s="1950">
        <f t="shared" si="7"/>
        <v>0</v>
      </c>
      <c r="E37" s="1950">
        <f>E25+E34</f>
        <v>196382200</v>
      </c>
      <c r="F37" s="1950">
        <f t="shared" si="7"/>
        <v>0</v>
      </c>
      <c r="G37" s="1951">
        <f>G25+G34</f>
        <v>200540200</v>
      </c>
      <c r="H37" s="880"/>
    </row>
    <row r="38" spans="1:8" ht="15" customHeight="1" thickBot="1" x14ac:dyDescent="0.25"/>
    <row r="39" spans="1:8" ht="16.5" thickBot="1" x14ac:dyDescent="0.3">
      <c r="A39" s="2120" t="s">
        <v>579</v>
      </c>
      <c r="B39" s="2121"/>
      <c r="C39" s="2121"/>
      <c r="D39" s="2121"/>
      <c r="E39" s="2121"/>
      <c r="F39" s="2121"/>
      <c r="G39" s="2122"/>
    </row>
    <row r="40" spans="1:8" ht="21" x14ac:dyDescent="0.2">
      <c r="A40" s="863" t="s">
        <v>224</v>
      </c>
      <c r="B40" s="864" t="s">
        <v>220</v>
      </c>
      <c r="C40" s="865" t="s">
        <v>57</v>
      </c>
      <c r="D40" s="865" t="s">
        <v>90</v>
      </c>
      <c r="E40" s="865" t="s">
        <v>91</v>
      </c>
      <c r="F40" s="865" t="s">
        <v>309</v>
      </c>
      <c r="G40" s="866" t="s">
        <v>53</v>
      </c>
    </row>
    <row r="41" spans="1:8" ht="15" customHeight="1" x14ac:dyDescent="0.2">
      <c r="A41" s="2123" t="s">
        <v>175</v>
      </c>
      <c r="B41" s="2129"/>
      <c r="C41" s="905"/>
      <c r="D41" s="905"/>
      <c r="E41" s="905"/>
      <c r="F41" s="905"/>
      <c r="G41" s="906"/>
    </row>
    <row r="42" spans="1:8" ht="15" customHeight="1" x14ac:dyDescent="0.2">
      <c r="A42" s="681" t="s">
        <v>227</v>
      </c>
      <c r="B42" s="867" t="s">
        <v>228</v>
      </c>
      <c r="C42" s="868"/>
      <c r="D42" s="868"/>
      <c r="E42" s="868"/>
      <c r="F42" s="868"/>
      <c r="G42" s="896"/>
    </row>
    <row r="43" spans="1:8" ht="15" customHeight="1" x14ac:dyDescent="0.2">
      <c r="A43" s="875"/>
      <c r="B43" s="907" t="s">
        <v>349</v>
      </c>
      <c r="C43" s="877">
        <f>C7</f>
        <v>106460000</v>
      </c>
      <c r="D43" s="877">
        <f>D7</f>
        <v>19116000</v>
      </c>
      <c r="E43" s="877">
        <f>SUM(E7)</f>
        <v>3500000</v>
      </c>
      <c r="F43" s="877">
        <f>SUM(F7)</f>
        <v>1463000</v>
      </c>
      <c r="G43" s="908">
        <f t="shared" ref="G43:G53" si="8">SUM(C43:F43)</f>
        <v>130539000</v>
      </c>
    </row>
    <row r="44" spans="1:8" ht="15" customHeight="1" thickBot="1" x14ac:dyDescent="0.25">
      <c r="A44" s="1755"/>
      <c r="B44" s="1765" t="s">
        <v>350</v>
      </c>
      <c r="C44" s="1757">
        <f>SUM(C8)</f>
        <v>113271200</v>
      </c>
      <c r="D44" s="1757">
        <f>SUM(D8)</f>
        <v>20308000</v>
      </c>
      <c r="E44" s="1757">
        <f>SUM(E8)</f>
        <v>3500000</v>
      </c>
      <c r="F44" s="1757">
        <f>SUM(F8)</f>
        <v>1463000</v>
      </c>
      <c r="G44" s="897">
        <f t="shared" si="8"/>
        <v>138542200</v>
      </c>
    </row>
    <row r="45" spans="1:8" ht="21.75" x14ac:dyDescent="0.2">
      <c r="A45" s="681" t="s">
        <v>231</v>
      </c>
      <c r="B45" s="867" t="s">
        <v>367</v>
      </c>
      <c r="C45" s="868"/>
      <c r="D45" s="868"/>
      <c r="E45" s="868"/>
      <c r="F45" s="868"/>
      <c r="G45" s="896"/>
    </row>
    <row r="46" spans="1:8" ht="15" customHeight="1" x14ac:dyDescent="0.2">
      <c r="A46" s="875"/>
      <c r="B46" s="907" t="s">
        <v>349</v>
      </c>
      <c r="C46" s="877"/>
      <c r="D46" s="877">
        <f>D10</f>
        <v>392000</v>
      </c>
      <c r="E46" s="877">
        <f>E10</f>
        <v>2290000</v>
      </c>
      <c r="F46" s="877"/>
      <c r="G46" s="908">
        <f t="shared" si="8"/>
        <v>2682000</v>
      </c>
    </row>
    <row r="47" spans="1:8" ht="15" customHeight="1" thickBot="1" x14ac:dyDescent="0.25">
      <c r="A47" s="1862"/>
      <c r="B47" s="1863" t="s">
        <v>350</v>
      </c>
      <c r="C47" s="1864"/>
      <c r="D47" s="1864">
        <f>D11</f>
        <v>392000</v>
      </c>
      <c r="E47" s="1864">
        <f>E11</f>
        <v>2290000</v>
      </c>
      <c r="F47" s="1864"/>
      <c r="G47" s="914">
        <f t="shared" si="8"/>
        <v>2682000</v>
      </c>
    </row>
    <row r="48" spans="1:8" ht="15" customHeight="1" x14ac:dyDescent="0.2">
      <c r="A48" s="681" t="s">
        <v>229</v>
      </c>
      <c r="B48" s="867" t="s">
        <v>230</v>
      </c>
      <c r="C48" s="868"/>
      <c r="D48" s="868"/>
      <c r="E48" s="868"/>
      <c r="F48" s="868"/>
      <c r="G48" s="896"/>
    </row>
    <row r="49" spans="1:7" ht="15" customHeight="1" x14ac:dyDescent="0.2">
      <c r="A49" s="875"/>
      <c r="B49" s="907" t="s">
        <v>349</v>
      </c>
      <c r="C49" s="877">
        <f>C13</f>
        <v>2457000</v>
      </c>
      <c r="D49" s="877">
        <f>D13</f>
        <v>523000</v>
      </c>
      <c r="E49" s="877">
        <f>E13</f>
        <v>14797000</v>
      </c>
      <c r="F49" s="877">
        <f>F13</f>
        <v>1990000</v>
      </c>
      <c r="G49" s="908">
        <f t="shared" si="8"/>
        <v>19767000</v>
      </c>
    </row>
    <row r="50" spans="1:7" ht="15" customHeight="1" thickBot="1" x14ac:dyDescent="0.25">
      <c r="A50" s="875"/>
      <c r="B50" s="907" t="s">
        <v>350</v>
      </c>
      <c r="C50" s="877">
        <f>SUM(C14)</f>
        <v>2617800</v>
      </c>
      <c r="D50" s="877">
        <f>SUM(D14)</f>
        <v>2551200</v>
      </c>
      <c r="E50" s="877">
        <f>SUM(E14)</f>
        <v>14797000</v>
      </c>
      <c r="F50" s="877">
        <f>SUM(F14)</f>
        <v>1990000</v>
      </c>
      <c r="G50" s="908">
        <f t="shared" si="8"/>
        <v>21956000</v>
      </c>
    </row>
    <row r="51" spans="1:7" ht="15" customHeight="1" x14ac:dyDescent="0.2">
      <c r="A51" s="909" t="s">
        <v>377</v>
      </c>
      <c r="B51" s="910" t="s">
        <v>378</v>
      </c>
      <c r="C51" s="911"/>
      <c r="D51" s="911"/>
      <c r="E51" s="911"/>
      <c r="F51" s="911"/>
      <c r="G51" s="912">
        <f t="shared" si="8"/>
        <v>0</v>
      </c>
    </row>
    <row r="52" spans="1:7" ht="15" customHeight="1" x14ac:dyDescent="0.2">
      <c r="A52" s="898"/>
      <c r="B52" s="913" t="s">
        <v>349</v>
      </c>
      <c r="C52" s="933">
        <f>SUM(C16)</f>
        <v>4910000</v>
      </c>
      <c r="D52" s="933">
        <f>D16</f>
        <v>878000</v>
      </c>
      <c r="E52" s="876">
        <f>E16</f>
        <v>31002000</v>
      </c>
      <c r="F52" s="876">
        <f>SUM(F16)</f>
        <v>210000</v>
      </c>
      <c r="G52" s="908">
        <f t="shared" si="8"/>
        <v>37000000</v>
      </c>
    </row>
    <row r="53" spans="1:7" ht="15" customHeight="1" thickBot="1" x14ac:dyDescent="0.25">
      <c r="A53" s="682"/>
      <c r="B53" s="907" t="s">
        <v>350</v>
      </c>
      <c r="C53" s="1864">
        <f>SUM(C17)</f>
        <v>5216000</v>
      </c>
      <c r="D53" s="1864">
        <f>D17</f>
        <v>932000</v>
      </c>
      <c r="E53" s="877">
        <f>SUM(E17)</f>
        <v>31002000</v>
      </c>
      <c r="F53" s="877">
        <f>F17</f>
        <v>210000</v>
      </c>
      <c r="G53" s="1866">
        <f t="shared" si="8"/>
        <v>37360000</v>
      </c>
    </row>
    <row r="54" spans="1:7" ht="15" customHeight="1" x14ac:dyDescent="0.2">
      <c r="A54" s="2127" t="s">
        <v>92</v>
      </c>
      <c r="B54" s="2128"/>
      <c r="C54" s="915"/>
      <c r="D54" s="915"/>
      <c r="E54" s="915"/>
      <c r="F54" s="915"/>
      <c r="G54" s="916"/>
    </row>
    <row r="55" spans="1:7" ht="15" customHeight="1" x14ac:dyDescent="0.2">
      <c r="A55" s="917"/>
      <c r="B55" s="918" t="s">
        <v>349</v>
      </c>
      <c r="C55" s="1946">
        <f t="shared" ref="C55:G56" si="9">C43+C46+C49+C52</f>
        <v>113827000</v>
      </c>
      <c r="D55" s="1946">
        <f t="shared" si="9"/>
        <v>20909000</v>
      </c>
      <c r="E55" s="1946">
        <f t="shared" si="9"/>
        <v>51589000</v>
      </c>
      <c r="F55" s="1946">
        <f t="shared" si="9"/>
        <v>3663000</v>
      </c>
      <c r="G55" s="1954">
        <f t="shared" si="9"/>
        <v>189988000</v>
      </c>
    </row>
    <row r="56" spans="1:7" ht="15" customHeight="1" x14ac:dyDescent="0.2">
      <c r="A56" s="919"/>
      <c r="B56" s="904" t="s">
        <v>350</v>
      </c>
      <c r="C56" s="1950">
        <f t="shared" si="9"/>
        <v>121105000</v>
      </c>
      <c r="D56" s="1950">
        <f t="shared" si="9"/>
        <v>24183200</v>
      </c>
      <c r="E56" s="1950">
        <f t="shared" si="9"/>
        <v>51589000</v>
      </c>
      <c r="F56" s="1950">
        <f t="shared" si="9"/>
        <v>3663000</v>
      </c>
      <c r="G56" s="1951">
        <f t="shared" si="9"/>
        <v>200540200</v>
      </c>
    </row>
    <row r="57" spans="1:7" s="638" customFormat="1" ht="15" customHeight="1" thickBot="1" x14ac:dyDescent="0.25">
      <c r="A57" s="920"/>
      <c r="B57" s="640"/>
      <c r="C57" s="883"/>
      <c r="D57" s="883"/>
      <c r="E57" s="883"/>
      <c r="F57" s="883"/>
      <c r="G57" s="884"/>
    </row>
    <row r="58" spans="1:7" ht="15" customHeight="1" x14ac:dyDescent="0.2">
      <c r="A58" s="658"/>
      <c r="B58" s="659"/>
      <c r="C58" s="880"/>
      <c r="D58" s="880"/>
      <c r="E58" s="880"/>
      <c r="F58" s="880"/>
      <c r="G58" s="885"/>
    </row>
    <row r="59" spans="1:7" ht="31.5" x14ac:dyDescent="0.2">
      <c r="A59" s="863" t="s">
        <v>224</v>
      </c>
      <c r="B59" s="864" t="s">
        <v>220</v>
      </c>
      <c r="C59" s="886" t="s">
        <v>93</v>
      </c>
      <c r="D59" s="886" t="s">
        <v>283</v>
      </c>
      <c r="E59" s="886" t="s">
        <v>376</v>
      </c>
      <c r="F59" s="886" t="s">
        <v>379</v>
      </c>
      <c r="G59" s="887"/>
    </row>
    <row r="60" spans="1:7" ht="15" customHeight="1" x14ac:dyDescent="0.2">
      <c r="A60" s="2130" t="s">
        <v>175</v>
      </c>
      <c r="B60" s="2131"/>
      <c r="C60" s="921"/>
      <c r="D60" s="921"/>
      <c r="E60" s="921"/>
      <c r="F60" s="921"/>
      <c r="G60" s="922"/>
    </row>
    <row r="61" spans="1:7" ht="15" customHeight="1" x14ac:dyDescent="0.2">
      <c r="A61" s="923" t="s">
        <v>278</v>
      </c>
      <c r="B61" s="924" t="s">
        <v>280</v>
      </c>
      <c r="C61" s="925"/>
      <c r="D61" s="890"/>
      <c r="E61" s="890"/>
      <c r="F61" s="890"/>
      <c r="G61" s="894"/>
    </row>
    <row r="62" spans="1:7" ht="15" customHeight="1" x14ac:dyDescent="0.2">
      <c r="A62" s="1237"/>
      <c r="B62" s="1238" t="s">
        <v>349</v>
      </c>
      <c r="C62" s="1381"/>
      <c r="D62" s="1342">
        <f>E24</f>
        <v>185830000</v>
      </c>
      <c r="E62" s="1342"/>
      <c r="F62" s="1342"/>
      <c r="G62" s="929">
        <f>SUM(D62:F62)</f>
        <v>185830000</v>
      </c>
    </row>
    <row r="63" spans="1:7" ht="15" customHeight="1" thickBot="1" x14ac:dyDescent="0.25">
      <c r="A63" s="675"/>
      <c r="B63" s="1508" t="s">
        <v>350</v>
      </c>
      <c r="C63" s="1867"/>
      <c r="D63" s="892">
        <f>SUM(E25)</f>
        <v>196382200</v>
      </c>
      <c r="E63" s="892"/>
      <c r="F63" s="892">
        <f>SUM(F25)</f>
        <v>0</v>
      </c>
      <c r="G63" s="893">
        <f>SUM(D63:F63)</f>
        <v>196382200</v>
      </c>
    </row>
    <row r="64" spans="1:7" ht="15" customHeight="1" x14ac:dyDescent="0.2">
      <c r="A64" s="681" t="s">
        <v>227</v>
      </c>
      <c r="B64" s="674" t="s">
        <v>228</v>
      </c>
      <c r="C64" s="868"/>
      <c r="D64" s="868"/>
      <c r="E64" s="868"/>
      <c r="F64" s="868"/>
      <c r="G64" s="896"/>
    </row>
    <row r="65" spans="1:7" ht="15" customHeight="1" x14ac:dyDescent="0.2">
      <c r="A65" s="875"/>
      <c r="B65" s="1238" t="s">
        <v>349</v>
      </c>
      <c r="C65" s="877"/>
      <c r="D65" s="877"/>
      <c r="E65" s="877"/>
      <c r="F65" s="877"/>
      <c r="G65" s="908">
        <f t="shared" ref="G65:G66" si="10">SUM(C65:F65)</f>
        <v>0</v>
      </c>
    </row>
    <row r="66" spans="1:7" ht="15" customHeight="1" thickBot="1" x14ac:dyDescent="0.25">
      <c r="A66" s="1755"/>
      <c r="B66" s="1508" t="s">
        <v>350</v>
      </c>
      <c r="C66" s="1757"/>
      <c r="D66" s="1757"/>
      <c r="E66" s="1757"/>
      <c r="F66" s="1757"/>
      <c r="G66" s="897">
        <f t="shared" si="10"/>
        <v>0</v>
      </c>
    </row>
    <row r="67" spans="1:7" ht="15" customHeight="1" x14ac:dyDescent="0.2">
      <c r="A67" s="681" t="s">
        <v>229</v>
      </c>
      <c r="B67" s="674" t="s">
        <v>230</v>
      </c>
      <c r="C67" s="868"/>
      <c r="D67" s="868"/>
      <c r="E67" s="868"/>
      <c r="F67" s="868"/>
      <c r="G67" s="896"/>
    </row>
    <row r="68" spans="1:7" ht="15" customHeight="1" x14ac:dyDescent="0.2">
      <c r="A68" s="875"/>
      <c r="B68" s="1238" t="s">
        <v>349</v>
      </c>
      <c r="C68" s="877"/>
      <c r="D68" s="877"/>
      <c r="E68" s="877"/>
      <c r="F68" s="877"/>
      <c r="G68" s="908">
        <f t="shared" ref="G68:G69" si="11">SUM(C68:F68)</f>
        <v>0</v>
      </c>
    </row>
    <row r="69" spans="1:7" ht="15" customHeight="1" thickBot="1" x14ac:dyDescent="0.25">
      <c r="A69" s="1862"/>
      <c r="B69" s="1503" t="s">
        <v>350</v>
      </c>
      <c r="C69" s="1864"/>
      <c r="D69" s="1864"/>
      <c r="E69" s="1864"/>
      <c r="F69" s="1864"/>
      <c r="G69" s="914">
        <f t="shared" si="11"/>
        <v>0</v>
      </c>
    </row>
    <row r="70" spans="1:7" ht="15" customHeight="1" x14ac:dyDescent="0.2">
      <c r="A70" s="681" t="s">
        <v>377</v>
      </c>
      <c r="B70" s="674" t="s">
        <v>378</v>
      </c>
      <c r="C70" s="868"/>
      <c r="D70" s="868"/>
      <c r="E70" s="868"/>
      <c r="F70" s="868"/>
      <c r="G70" s="894"/>
    </row>
    <row r="71" spans="1:7" ht="15" customHeight="1" x14ac:dyDescent="0.2">
      <c r="A71" s="682"/>
      <c r="B71" s="683" t="s">
        <v>349</v>
      </c>
      <c r="C71" s="933">
        <f>C33</f>
        <v>4158000</v>
      </c>
      <c r="D71" s="933"/>
      <c r="E71" s="933"/>
      <c r="F71" s="933"/>
      <c r="G71" s="929">
        <f>SUM(C71:F71)</f>
        <v>4158000</v>
      </c>
    </row>
    <row r="72" spans="1:7" ht="15" customHeight="1" thickBot="1" x14ac:dyDescent="0.25">
      <c r="A72" s="682"/>
      <c r="B72" s="907" t="s">
        <v>350</v>
      </c>
      <c r="C72" s="877">
        <f>SUM(C34)</f>
        <v>4158000</v>
      </c>
      <c r="D72" s="877"/>
      <c r="E72" s="877"/>
      <c r="F72" s="877"/>
      <c r="G72" s="1768">
        <f>SUM(C72:F72)</f>
        <v>4158000</v>
      </c>
    </row>
    <row r="73" spans="1:7" ht="15" customHeight="1" x14ac:dyDescent="0.2">
      <c r="A73" s="2127" t="s">
        <v>94</v>
      </c>
      <c r="B73" s="2128"/>
      <c r="C73" s="915"/>
      <c r="D73" s="915"/>
      <c r="E73" s="915"/>
      <c r="F73" s="915"/>
      <c r="G73" s="935"/>
    </row>
    <row r="74" spans="1:7" ht="15" customHeight="1" x14ac:dyDescent="0.2">
      <c r="A74" s="936"/>
      <c r="B74" s="904" t="s">
        <v>349</v>
      </c>
      <c r="C74" s="1958">
        <f t="shared" ref="C74:G75" si="12">C62+C71</f>
        <v>4158000</v>
      </c>
      <c r="D74" s="1958">
        <f t="shared" si="12"/>
        <v>185830000</v>
      </c>
      <c r="E74" s="1958">
        <f t="shared" si="12"/>
        <v>0</v>
      </c>
      <c r="F74" s="1958">
        <f t="shared" si="12"/>
        <v>0</v>
      </c>
      <c r="G74" s="1959">
        <f t="shared" si="12"/>
        <v>189988000</v>
      </c>
    </row>
    <row r="75" spans="1:7" ht="15" customHeight="1" x14ac:dyDescent="0.2">
      <c r="A75" s="939"/>
      <c r="B75" s="904" t="s">
        <v>350</v>
      </c>
      <c r="C75" s="1958">
        <f t="shared" si="12"/>
        <v>4158000</v>
      </c>
      <c r="D75" s="1958">
        <f t="shared" si="12"/>
        <v>196382200</v>
      </c>
      <c r="E75" s="1958">
        <f t="shared" si="12"/>
        <v>0</v>
      </c>
      <c r="F75" s="1958">
        <f t="shared" si="12"/>
        <v>0</v>
      </c>
      <c r="G75" s="1959">
        <f t="shared" si="12"/>
        <v>200540200</v>
      </c>
    </row>
    <row r="76" spans="1:7" ht="15" customHeight="1" thickBot="1" x14ac:dyDescent="0.25">
      <c r="A76" s="941"/>
      <c r="B76" s="942"/>
      <c r="C76" s="943"/>
      <c r="D76" s="943"/>
      <c r="E76" s="943"/>
      <c r="F76" s="943"/>
      <c r="G76" s="944"/>
    </row>
    <row r="77" spans="1:7" ht="12.6" customHeight="1" x14ac:dyDescent="0.2">
      <c r="A77" s="714"/>
      <c r="B77" s="711"/>
      <c r="C77" s="711"/>
      <c r="D77" s="711"/>
      <c r="E77" s="711"/>
      <c r="F77" s="711"/>
    </row>
    <row r="78" spans="1:7" x14ac:dyDescent="0.2">
      <c r="B78" s="709"/>
      <c r="C78" s="709"/>
      <c r="D78" s="709"/>
      <c r="E78" s="709"/>
      <c r="F78" s="709"/>
    </row>
    <row r="79" spans="1:7" x14ac:dyDescent="0.2">
      <c r="B79" s="709"/>
      <c r="C79" s="709"/>
      <c r="D79" s="709"/>
      <c r="E79" s="709"/>
      <c r="F79" s="709"/>
    </row>
    <row r="80" spans="1:7" x14ac:dyDescent="0.2">
      <c r="A80" s="714"/>
      <c r="B80" s="712"/>
      <c r="C80" s="712"/>
      <c r="D80" s="712"/>
      <c r="E80" s="712"/>
      <c r="F80" s="712"/>
    </row>
  </sheetData>
  <mergeCells count="8">
    <mergeCell ref="A73:B73"/>
    <mergeCell ref="A1:G1"/>
    <mergeCell ref="A39:G39"/>
    <mergeCell ref="A41:B41"/>
    <mergeCell ref="A60:B60"/>
    <mergeCell ref="A18:B18"/>
    <mergeCell ref="A35:B35"/>
    <mergeCell ref="A54:B54"/>
  </mergeCells>
  <phoneticPr fontId="3" type="noConversion"/>
  <pageMargins left="0.7" right="0.7" top="0.75" bottom="0.75" header="0.3" footer="0.3"/>
  <pageSetup paperSize="9" scale="43" orientation="landscape" r:id="rId1"/>
  <headerFooter alignWithMargins="0">
    <oddHeader>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100"/>
  <sheetViews>
    <sheetView topLeftCell="B1" workbookViewId="0">
      <selection activeCell="G7" sqref="G7"/>
    </sheetView>
  </sheetViews>
  <sheetFormatPr defaultColWidth="9.140625" defaultRowHeight="12.75" x14ac:dyDescent="0.2"/>
  <cols>
    <col min="1" max="1" width="0.85546875" style="3" hidden="1" customWidth="1"/>
    <col min="2" max="2" width="0.85546875" style="4" customWidth="1"/>
    <col min="3" max="3" width="13.85546875" style="4" customWidth="1"/>
    <col min="4" max="4" width="24.5703125" customWidth="1"/>
    <col min="5" max="5" width="6.7109375" customWidth="1"/>
    <col min="6" max="6" width="5.42578125" customWidth="1"/>
    <col min="7" max="7" width="52.42578125" style="1" customWidth="1"/>
    <col min="8" max="8" width="12.7109375" bestFit="1" customWidth="1"/>
    <col min="9" max="9" width="0.140625" customWidth="1"/>
    <col min="10" max="10" width="14.28515625" customWidth="1"/>
    <col min="11" max="11" width="9.5703125" style="1" customWidth="1"/>
  </cols>
  <sheetData>
    <row r="1" spans="1:11" ht="20.25" thickBot="1" x14ac:dyDescent="0.4">
      <c r="A1" s="26" t="s">
        <v>22</v>
      </c>
      <c r="B1" s="26"/>
      <c r="C1" s="2051" t="s">
        <v>580</v>
      </c>
      <c r="D1" s="2052"/>
      <c r="E1" s="2052"/>
      <c r="F1" s="2052"/>
      <c r="G1" s="2052"/>
      <c r="H1" s="2052"/>
      <c r="I1" s="2052"/>
      <c r="J1" s="2053"/>
      <c r="K1" s="84"/>
    </row>
    <row r="2" spans="1:11" ht="20.25" thickBot="1" x14ac:dyDescent="0.4">
      <c r="A2" s="26"/>
      <c r="B2" s="26"/>
      <c r="C2" s="145"/>
      <c r="D2" s="89"/>
      <c r="E2" s="89"/>
      <c r="F2" s="90"/>
      <c r="G2" s="102"/>
      <c r="H2" s="91"/>
      <c r="I2" s="91"/>
      <c r="J2" s="146"/>
      <c r="K2" s="84"/>
    </row>
    <row r="3" spans="1:11" ht="16.5" thickBot="1" x14ac:dyDescent="0.3">
      <c r="A3" s="4"/>
      <c r="C3" s="92"/>
      <c r="D3" s="342" t="s">
        <v>5</v>
      </c>
      <c r="E3" s="342"/>
      <c r="F3" s="93"/>
      <c r="G3" s="86"/>
      <c r="H3" s="342" t="s">
        <v>106</v>
      </c>
      <c r="I3" s="342"/>
      <c r="J3" s="93"/>
      <c r="K3" s="84"/>
    </row>
    <row r="4" spans="1:11" ht="3" customHeight="1" thickBot="1" x14ac:dyDescent="0.3">
      <c r="A4" s="4"/>
      <c r="C4" s="96"/>
      <c r="D4" s="97"/>
      <c r="E4" s="97"/>
      <c r="F4" s="98"/>
      <c r="G4" s="101"/>
      <c r="H4" s="97"/>
      <c r="I4" s="320"/>
      <c r="J4" s="1078"/>
      <c r="K4" s="84"/>
    </row>
    <row r="5" spans="1:11" ht="15" customHeight="1" x14ac:dyDescent="0.25">
      <c r="A5" s="4"/>
      <c r="C5" s="96"/>
      <c r="D5" s="378" t="s">
        <v>358</v>
      </c>
      <c r="E5" s="378"/>
      <c r="F5" s="379"/>
      <c r="G5" s="1900"/>
      <c r="H5" s="378" t="s">
        <v>358</v>
      </c>
      <c r="I5" s="378"/>
      <c r="J5" s="411" t="s">
        <v>646</v>
      </c>
      <c r="K5" s="84"/>
    </row>
    <row r="6" spans="1:11" ht="15" customHeight="1" x14ac:dyDescent="0.25">
      <c r="A6" s="4"/>
      <c r="C6" s="1899"/>
      <c r="D6" s="1902"/>
      <c r="E6" s="1902"/>
      <c r="F6" s="1901"/>
      <c r="G6" s="1899" t="s">
        <v>429</v>
      </c>
      <c r="H6" s="1898">
        <f>SUM(H7:H18)</f>
        <v>3663000</v>
      </c>
      <c r="I6" s="627">
        <f t="shared" ref="I6" si="0">SUM(I7:I18)</f>
        <v>3663000</v>
      </c>
      <c r="J6" s="1903">
        <f>SUM(J7:J18)</f>
        <v>3663000</v>
      </c>
      <c r="K6" s="84"/>
    </row>
    <row r="7" spans="1:11" ht="15" customHeight="1" x14ac:dyDescent="0.25">
      <c r="A7" s="4"/>
      <c r="C7" s="144"/>
      <c r="D7" s="191"/>
      <c r="E7" s="191"/>
      <c r="F7" s="317"/>
      <c r="G7" s="144" t="s">
        <v>622</v>
      </c>
      <c r="H7" s="860">
        <v>1000000</v>
      </c>
      <c r="I7" s="860">
        <v>1000000</v>
      </c>
      <c r="J7" s="1904">
        <v>1000000</v>
      </c>
      <c r="K7" s="84"/>
    </row>
    <row r="8" spans="1:11" ht="15" customHeight="1" x14ac:dyDescent="0.25">
      <c r="A8" s="4"/>
      <c r="C8" s="144"/>
      <c r="D8" s="191"/>
      <c r="E8" s="191"/>
      <c r="F8" s="317"/>
      <c r="G8" s="144" t="s">
        <v>590</v>
      </c>
      <c r="H8" s="860">
        <v>120000</v>
      </c>
      <c r="I8" s="860">
        <v>120000</v>
      </c>
      <c r="J8" s="1904">
        <v>120000</v>
      </c>
      <c r="K8" s="84"/>
    </row>
    <row r="9" spans="1:11" ht="15" customHeight="1" x14ac:dyDescent="0.25">
      <c r="A9" s="4"/>
      <c r="C9" s="144"/>
      <c r="D9" s="191"/>
      <c r="E9" s="191"/>
      <c r="F9" s="317"/>
      <c r="G9" s="144" t="s">
        <v>589</v>
      </c>
      <c r="H9" s="860">
        <v>800000</v>
      </c>
      <c r="I9" s="860">
        <v>800000</v>
      </c>
      <c r="J9" s="1904">
        <v>800000</v>
      </c>
      <c r="K9" s="84"/>
    </row>
    <row r="10" spans="1:11" ht="15" customHeight="1" x14ac:dyDescent="0.25">
      <c r="A10" s="4"/>
      <c r="C10" s="144"/>
      <c r="D10" s="191"/>
      <c r="E10" s="191"/>
      <c r="F10" s="317"/>
      <c r="G10" s="144" t="s">
        <v>591</v>
      </c>
      <c r="H10" s="860">
        <v>32000</v>
      </c>
      <c r="I10" s="860">
        <v>32000</v>
      </c>
      <c r="J10" s="1904">
        <v>32000</v>
      </c>
      <c r="K10" s="84"/>
    </row>
    <row r="11" spans="1:11" ht="15" customHeight="1" x14ac:dyDescent="0.25">
      <c r="A11" s="4"/>
      <c r="C11" s="144"/>
      <c r="D11" s="191"/>
      <c r="E11" s="191"/>
      <c r="F11" s="317"/>
      <c r="G11" s="144" t="s">
        <v>592</v>
      </c>
      <c r="H11" s="860">
        <v>38000</v>
      </c>
      <c r="I11" s="860">
        <v>38000</v>
      </c>
      <c r="J11" s="1904">
        <v>38000</v>
      </c>
      <c r="K11" s="84"/>
    </row>
    <row r="12" spans="1:11" ht="15" customHeight="1" x14ac:dyDescent="0.25">
      <c r="A12" s="4"/>
      <c r="C12" s="144"/>
      <c r="D12" s="191"/>
      <c r="E12" s="191"/>
      <c r="F12" s="317"/>
      <c r="G12" s="144" t="s">
        <v>593</v>
      </c>
      <c r="H12" s="860">
        <v>180000</v>
      </c>
      <c r="I12" s="860">
        <v>180000</v>
      </c>
      <c r="J12" s="1904">
        <v>180000</v>
      </c>
      <c r="K12" s="84"/>
    </row>
    <row r="13" spans="1:11" s="1093" customFormat="1" ht="15" customHeight="1" x14ac:dyDescent="0.25">
      <c r="A13" s="4"/>
      <c r="B13" s="4"/>
      <c r="C13" s="144"/>
      <c r="D13" s="191"/>
      <c r="E13" s="191"/>
      <c r="F13" s="1103"/>
      <c r="G13" s="144" t="s">
        <v>594</v>
      </c>
      <c r="H13" s="860">
        <v>30000</v>
      </c>
      <c r="I13" s="860">
        <v>30000</v>
      </c>
      <c r="J13" s="1904">
        <v>30000</v>
      </c>
      <c r="K13" s="84"/>
    </row>
    <row r="14" spans="1:11" s="1093" customFormat="1" ht="15" customHeight="1" x14ac:dyDescent="0.25">
      <c r="A14" s="4"/>
      <c r="B14" s="4"/>
      <c r="C14" s="144"/>
      <c r="D14" s="191"/>
      <c r="E14" s="191"/>
      <c r="F14" s="1103"/>
      <c r="G14" s="144" t="s">
        <v>595</v>
      </c>
      <c r="H14" s="860">
        <v>310000</v>
      </c>
      <c r="I14" s="860">
        <v>310000</v>
      </c>
      <c r="J14" s="1904">
        <v>310000</v>
      </c>
      <c r="K14" s="84"/>
    </row>
    <row r="15" spans="1:11" s="1093" customFormat="1" ht="15" customHeight="1" x14ac:dyDescent="0.25">
      <c r="A15" s="4"/>
      <c r="B15" s="4"/>
      <c r="C15" s="144"/>
      <c r="D15" s="191"/>
      <c r="E15" s="191"/>
      <c r="F15" s="1103"/>
      <c r="G15" s="144" t="s">
        <v>596</v>
      </c>
      <c r="H15" s="860">
        <v>263000</v>
      </c>
      <c r="I15" s="860">
        <v>263000</v>
      </c>
      <c r="J15" s="1904">
        <v>263000</v>
      </c>
      <c r="K15" s="84"/>
    </row>
    <row r="16" spans="1:11" s="1093" customFormat="1" ht="15" customHeight="1" x14ac:dyDescent="0.25">
      <c r="A16" s="4"/>
      <c r="B16" s="4"/>
      <c r="C16" s="144"/>
      <c r="D16" s="191"/>
      <c r="E16" s="191"/>
      <c r="F16" s="1103"/>
      <c r="G16" s="144" t="s">
        <v>597</v>
      </c>
      <c r="H16" s="860">
        <v>60000</v>
      </c>
      <c r="I16" s="860">
        <v>60000</v>
      </c>
      <c r="J16" s="1904">
        <v>60000</v>
      </c>
      <c r="K16" s="84"/>
    </row>
    <row r="17" spans="1:11" s="1093" customFormat="1" ht="15" customHeight="1" x14ac:dyDescent="0.25">
      <c r="A17" s="4"/>
      <c r="B17" s="4"/>
      <c r="C17" s="144"/>
      <c r="D17" s="191"/>
      <c r="E17" s="191"/>
      <c r="F17" s="1103"/>
      <c r="G17" s="144" t="s">
        <v>598</v>
      </c>
      <c r="H17" s="860">
        <v>330000</v>
      </c>
      <c r="I17" s="860">
        <v>330000</v>
      </c>
      <c r="J17" s="1904">
        <v>330000</v>
      </c>
      <c r="K17" s="84"/>
    </row>
    <row r="18" spans="1:11" ht="15" customHeight="1" thickBot="1" x14ac:dyDescent="0.3">
      <c r="A18" s="4"/>
      <c r="C18" s="376"/>
      <c r="D18" s="377"/>
      <c r="E18" s="377"/>
      <c r="F18" s="453"/>
      <c r="G18" s="376" t="s">
        <v>430</v>
      </c>
      <c r="H18" s="945">
        <v>500000</v>
      </c>
      <c r="I18" s="945">
        <v>500000</v>
      </c>
      <c r="J18" s="1905">
        <v>500000</v>
      </c>
      <c r="K18" s="84"/>
    </row>
    <row r="19" spans="1:11" ht="15" customHeight="1" thickBot="1" x14ac:dyDescent="0.3">
      <c r="A19"/>
      <c r="B19" s="299"/>
      <c r="C19" s="349" t="s">
        <v>53</v>
      </c>
      <c r="D19" s="321">
        <f>SUM(D6:D18)</f>
        <v>0</v>
      </c>
      <c r="E19" s="946">
        <f>SUM(E6:E18)</f>
        <v>0</v>
      </c>
      <c r="F19" s="346"/>
      <c r="G19" s="322"/>
      <c r="H19" s="628">
        <f>SUM(H6:H6)</f>
        <v>3663000</v>
      </c>
      <c r="I19" s="346">
        <f>SUM(I6:I6)</f>
        <v>3663000</v>
      </c>
      <c r="J19" s="184">
        <f>SUM(J7:J18)</f>
        <v>3663000</v>
      </c>
      <c r="K19" s="84"/>
    </row>
    <row r="20" spans="1:11" ht="15" customHeight="1" thickBot="1" x14ac:dyDescent="0.3">
      <c r="A20"/>
      <c r="B20"/>
      <c r="C20" s="322" t="s">
        <v>359</v>
      </c>
      <c r="D20" s="443"/>
      <c r="E20" s="188"/>
      <c r="F20" s="189"/>
      <c r="G20" s="323"/>
      <c r="H20" s="857">
        <f>SUM(D19+H19)</f>
        <v>3663000</v>
      </c>
      <c r="I20" s="345"/>
      <c r="J20" s="185">
        <f>SUM(D19+H19)</f>
        <v>3663000</v>
      </c>
      <c r="K20" s="84"/>
    </row>
    <row r="21" spans="1:11" ht="0.2" customHeight="1" thickBot="1" x14ac:dyDescent="0.3">
      <c r="A21"/>
      <c r="B21"/>
      <c r="C21" s="322" t="s">
        <v>360</v>
      </c>
      <c r="D21" s="227"/>
      <c r="E21" s="188"/>
      <c r="F21" s="189"/>
      <c r="G21" s="323"/>
      <c r="H21" s="189"/>
      <c r="I21" s="345">
        <f>SUM(I19+E19)</f>
        <v>3663000</v>
      </c>
      <c r="J21" s="185">
        <f>SUM(E19+I19)</f>
        <v>3663000</v>
      </c>
      <c r="K21" s="84"/>
    </row>
    <row r="22" spans="1:11" s="947" customFormat="1" ht="0.2" customHeight="1" thickBot="1" x14ac:dyDescent="0.3">
      <c r="C22" s="948" t="s">
        <v>416</v>
      </c>
      <c r="D22" s="949"/>
      <c r="E22" s="950"/>
      <c r="F22" s="951"/>
      <c r="G22" s="952"/>
      <c r="H22" s="951"/>
      <c r="I22" s="953"/>
      <c r="J22" s="954">
        <f>SUM(J19+F19)</f>
        <v>3663000</v>
      </c>
      <c r="K22" s="955"/>
    </row>
    <row r="23" spans="1:11" s="20" customFormat="1" ht="15" customHeight="1" thickBot="1" x14ac:dyDescent="0.3">
      <c r="A23" s="19" t="s">
        <v>6</v>
      </c>
      <c r="B23" s="19"/>
      <c r="C23"/>
      <c r="D23"/>
      <c r="E23" s="352"/>
      <c r="F23" s="24"/>
      <c r="G23"/>
      <c r="H23"/>
      <c r="I23"/>
      <c r="J23" s="454">
        <f>SUM(J22/J21)</f>
        <v>1</v>
      </c>
    </row>
    <row r="24" spans="1:11" ht="15" customHeight="1" x14ac:dyDescent="0.25">
      <c r="A24"/>
      <c r="B24"/>
      <c r="C24" s="19"/>
      <c r="D24" s="20"/>
      <c r="E24" s="20"/>
      <c r="F24" s="6"/>
    </row>
    <row r="25" spans="1:11" x14ac:dyDescent="0.2">
      <c r="C25"/>
      <c r="D25" s="1"/>
      <c r="E25" s="1"/>
      <c r="F25" s="16"/>
      <c r="G25"/>
    </row>
    <row r="26" spans="1:11" x14ac:dyDescent="0.2">
      <c r="A26" s="5"/>
      <c r="B26" s="5"/>
    </row>
    <row r="27" spans="1:11" x14ac:dyDescent="0.2">
      <c r="A27" s="7"/>
      <c r="B27" s="7"/>
      <c r="C27" s="5"/>
    </row>
    <row r="28" spans="1:11" x14ac:dyDescent="0.2">
      <c r="A28" s="7"/>
      <c r="B28" s="7"/>
      <c r="C28" s="7"/>
    </row>
    <row r="29" spans="1:11" x14ac:dyDescent="0.2">
      <c r="A29" s="7"/>
      <c r="B29" s="7"/>
      <c r="C29" s="7"/>
    </row>
    <row r="30" spans="1:11" x14ac:dyDescent="0.2">
      <c r="A30" s="7"/>
      <c r="B30" s="7"/>
      <c r="C30" s="7"/>
    </row>
    <row r="31" spans="1:11" x14ac:dyDescent="0.2">
      <c r="A31" s="7"/>
      <c r="B31" s="7"/>
      <c r="C31" s="7"/>
    </row>
    <row r="32" spans="1:11" x14ac:dyDescent="0.2">
      <c r="A32" s="7"/>
      <c r="B32" s="7"/>
      <c r="C32" s="7"/>
    </row>
    <row r="33" spans="1:3" x14ac:dyDescent="0.2">
      <c r="A33" s="7"/>
      <c r="B33" s="7"/>
      <c r="C33" s="7"/>
    </row>
    <row r="34" spans="1:3" x14ac:dyDescent="0.2">
      <c r="A34" s="7"/>
      <c r="B34" s="7"/>
      <c r="C34" s="7"/>
    </row>
    <row r="35" spans="1:3" x14ac:dyDescent="0.2">
      <c r="A35" s="7"/>
      <c r="B35" s="7"/>
      <c r="C35" s="7"/>
    </row>
    <row r="36" spans="1:3" x14ac:dyDescent="0.2">
      <c r="A36" s="7"/>
      <c r="B36" s="7"/>
      <c r="C36" s="7"/>
    </row>
    <row r="37" spans="1:3" x14ac:dyDescent="0.2">
      <c r="A37" s="7"/>
      <c r="B37" s="7"/>
      <c r="C37" s="7"/>
    </row>
    <row r="38" spans="1:3" x14ac:dyDescent="0.2">
      <c r="A38" s="7"/>
      <c r="B38" s="7"/>
      <c r="C38" s="7"/>
    </row>
    <row r="39" spans="1:3" x14ac:dyDescent="0.2">
      <c r="A39" s="7"/>
      <c r="B39" s="7"/>
      <c r="C39" s="7"/>
    </row>
    <row r="40" spans="1:3" x14ac:dyDescent="0.2">
      <c r="A40" s="7"/>
      <c r="B40" s="7"/>
      <c r="C40" s="7"/>
    </row>
    <row r="41" spans="1:3" x14ac:dyDescent="0.2">
      <c r="A41" s="7"/>
      <c r="B41" s="7"/>
      <c r="C41" s="7"/>
    </row>
    <row r="42" spans="1:3" x14ac:dyDescent="0.2">
      <c r="A42" s="7"/>
      <c r="B42" s="7"/>
      <c r="C42" s="7"/>
    </row>
    <row r="43" spans="1:3" x14ac:dyDescent="0.2">
      <c r="A43" s="7"/>
      <c r="B43" s="7"/>
      <c r="C43" s="7"/>
    </row>
    <row r="44" spans="1:3" x14ac:dyDescent="0.2">
      <c r="A44" s="7"/>
      <c r="B44" s="7"/>
      <c r="C44" s="7"/>
    </row>
    <row r="45" spans="1:3" x14ac:dyDescent="0.2">
      <c r="A45" s="6"/>
      <c r="B45" s="6"/>
      <c r="C45" s="7"/>
    </row>
    <row r="46" spans="1:3" x14ac:dyDescent="0.2">
      <c r="A46" s="1"/>
      <c r="B46" s="1"/>
      <c r="C46" s="6"/>
    </row>
    <row r="47" spans="1:3" x14ac:dyDescent="0.2">
      <c r="A47" s="17"/>
      <c r="B47" s="17"/>
      <c r="C47" s="1"/>
    </row>
    <row r="48" spans="1:3" x14ac:dyDescent="0.2">
      <c r="A48" s="17"/>
      <c r="B48" s="17"/>
      <c r="C48" s="17"/>
    </row>
    <row r="49" spans="1:11" x14ac:dyDescent="0.2">
      <c r="A49" s="17"/>
      <c r="B49" s="17"/>
      <c r="C49" s="17"/>
    </row>
    <row r="50" spans="1:11" s="2" customFormat="1" ht="15.75" x14ac:dyDescent="0.25">
      <c r="A50" s="18"/>
      <c r="B50" s="18"/>
      <c r="C50" s="17"/>
      <c r="D50"/>
      <c r="E50"/>
      <c r="F50"/>
      <c r="G50" s="1"/>
      <c r="H50"/>
      <c r="I50"/>
      <c r="J50"/>
      <c r="K50" s="1"/>
    </row>
    <row r="51" spans="1:11" ht="15.75" x14ac:dyDescent="0.25">
      <c r="A51" s="17"/>
      <c r="B51" s="17"/>
      <c r="C51" s="18"/>
    </row>
    <row r="52" spans="1:11" x14ac:dyDescent="0.2">
      <c r="A52"/>
      <c r="B52"/>
      <c r="C52" s="17"/>
    </row>
    <row r="53" spans="1:11" x14ac:dyDescent="0.2">
      <c r="A53"/>
      <c r="B53"/>
      <c r="C53"/>
    </row>
    <row r="54" spans="1:11" x14ac:dyDescent="0.2">
      <c r="A54"/>
      <c r="B54"/>
      <c r="C54"/>
    </row>
    <row r="55" spans="1:11" x14ac:dyDescent="0.2">
      <c r="A55"/>
      <c r="B55"/>
      <c r="C55"/>
    </row>
    <row r="56" spans="1:11" x14ac:dyDescent="0.2">
      <c r="A56"/>
      <c r="B56"/>
      <c r="C56"/>
    </row>
    <row r="57" spans="1:11" x14ac:dyDescent="0.2">
      <c r="A57" s="17"/>
      <c r="B57" s="17"/>
      <c r="C57"/>
    </row>
    <row r="58" spans="1:11" x14ac:dyDescent="0.2">
      <c r="A58" s="17"/>
      <c r="B58" s="17"/>
      <c r="C58" s="17"/>
    </row>
    <row r="59" spans="1:11" ht="15.75" x14ac:dyDescent="0.25">
      <c r="A59" s="17"/>
      <c r="B59" s="17"/>
      <c r="C59" s="17"/>
      <c r="K59" s="2"/>
    </row>
    <row r="60" spans="1:11" x14ac:dyDescent="0.2">
      <c r="A60" s="17"/>
      <c r="B60" s="17"/>
      <c r="C60" s="17"/>
    </row>
    <row r="61" spans="1:11" x14ac:dyDescent="0.2">
      <c r="A61" s="17"/>
      <c r="B61" s="17"/>
      <c r="C61" s="17"/>
    </row>
    <row r="62" spans="1:11" x14ac:dyDescent="0.2">
      <c r="A62" s="4"/>
      <c r="C62" s="17"/>
    </row>
    <row r="63" spans="1:11" x14ac:dyDescent="0.2">
      <c r="A63" s="4"/>
    </row>
    <row r="64" spans="1:11" x14ac:dyDescent="0.2">
      <c r="A64" s="4"/>
    </row>
    <row r="65" spans="1:1" x14ac:dyDescent="0.2">
      <c r="A65" s="23"/>
    </row>
    <row r="66" spans="1:1" x14ac:dyDescent="0.2">
      <c r="A66" s="23"/>
    </row>
    <row r="67" spans="1:1" x14ac:dyDescent="0.2">
      <c r="A67" s="23"/>
    </row>
    <row r="68" spans="1:1" x14ac:dyDescent="0.2">
      <c r="A68" s="23"/>
    </row>
    <row r="69" spans="1:1" x14ac:dyDescent="0.2">
      <c r="A69" s="23"/>
    </row>
    <row r="70" spans="1:1" x14ac:dyDescent="0.2">
      <c r="A70" s="23"/>
    </row>
    <row r="71" spans="1:1" x14ac:dyDescent="0.2">
      <c r="A71" s="23"/>
    </row>
    <row r="72" spans="1:1" x14ac:dyDescent="0.2">
      <c r="A72" s="23"/>
    </row>
    <row r="73" spans="1:1" x14ac:dyDescent="0.2">
      <c r="A73" s="23"/>
    </row>
    <row r="74" spans="1:1" x14ac:dyDescent="0.2">
      <c r="A74" s="23"/>
    </row>
    <row r="75" spans="1:1" x14ac:dyDescent="0.2">
      <c r="A75" s="23"/>
    </row>
    <row r="76" spans="1:1" x14ac:dyDescent="0.2">
      <c r="A76" s="23"/>
    </row>
    <row r="77" spans="1:1" x14ac:dyDescent="0.2">
      <c r="A77" s="23"/>
    </row>
    <row r="78" spans="1:1" x14ac:dyDescent="0.2">
      <c r="A78" s="23"/>
    </row>
    <row r="79" spans="1:1" x14ac:dyDescent="0.2">
      <c r="A79" s="23"/>
    </row>
    <row r="80" spans="1:1" x14ac:dyDescent="0.2">
      <c r="A80" s="23"/>
    </row>
    <row r="81" spans="1:1" x14ac:dyDescent="0.2">
      <c r="A81" s="23"/>
    </row>
    <row r="82" spans="1:1" x14ac:dyDescent="0.2">
      <c r="A82" s="23"/>
    </row>
    <row r="83" spans="1:1" x14ac:dyDescent="0.2">
      <c r="A83" s="23"/>
    </row>
    <row r="84" spans="1:1" x14ac:dyDescent="0.2">
      <c r="A84" s="23"/>
    </row>
    <row r="85" spans="1:1" x14ac:dyDescent="0.2">
      <c r="A85" s="23"/>
    </row>
    <row r="86" spans="1:1" x14ac:dyDescent="0.2">
      <c r="A86" s="23"/>
    </row>
    <row r="87" spans="1:1" x14ac:dyDescent="0.2">
      <c r="A87" s="23"/>
    </row>
    <row r="88" spans="1:1" x14ac:dyDescent="0.2">
      <c r="A88" s="23"/>
    </row>
    <row r="89" spans="1:1" x14ac:dyDescent="0.2">
      <c r="A89" s="23"/>
    </row>
    <row r="90" spans="1:1" x14ac:dyDescent="0.2">
      <c r="A90" s="23"/>
    </row>
    <row r="91" spans="1:1" x14ac:dyDescent="0.2">
      <c r="A91" s="23"/>
    </row>
    <row r="92" spans="1:1" x14ac:dyDescent="0.2">
      <c r="A92" s="23"/>
    </row>
    <row r="93" spans="1:1" x14ac:dyDescent="0.2">
      <c r="A93" s="23"/>
    </row>
    <row r="94" spans="1:1" x14ac:dyDescent="0.2">
      <c r="A94" s="23"/>
    </row>
    <row r="95" spans="1:1" x14ac:dyDescent="0.2">
      <c r="A95" s="23"/>
    </row>
    <row r="96" spans="1:1" x14ac:dyDescent="0.2">
      <c r="A96" s="23"/>
    </row>
    <row r="97" spans="1:1" x14ac:dyDescent="0.2">
      <c r="A97" s="23"/>
    </row>
    <row r="98" spans="1:1" x14ac:dyDescent="0.2">
      <c r="A98" s="22"/>
    </row>
    <row r="99" spans="1:1" x14ac:dyDescent="0.2">
      <c r="A99" s="22"/>
    </row>
    <row r="100" spans="1:1" x14ac:dyDescent="0.2">
      <c r="A100" s="22"/>
    </row>
  </sheetData>
  <mergeCells count="1">
    <mergeCell ref="C1:J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8">
    <pageSetUpPr fitToPage="1"/>
  </sheetPr>
  <dimension ref="A1:I67"/>
  <sheetViews>
    <sheetView topLeftCell="A28" workbookViewId="0">
      <selection sqref="A1:G31"/>
    </sheetView>
  </sheetViews>
  <sheetFormatPr defaultRowHeight="12.75" x14ac:dyDescent="0.2"/>
  <cols>
    <col min="1" max="1" width="11.5703125" style="264" customWidth="1"/>
    <col min="2" max="2" width="35.28515625" customWidth="1"/>
    <col min="3" max="3" width="18" customWidth="1"/>
    <col min="4" max="4" width="16.7109375" customWidth="1"/>
    <col min="5" max="5" width="17" customWidth="1"/>
    <col min="6" max="6" width="16.42578125" customWidth="1"/>
    <col min="7" max="7" width="17.42578125" customWidth="1"/>
    <col min="8" max="8" width="9.85546875" bestFit="1" customWidth="1"/>
    <col min="9" max="9" width="9.5703125" bestFit="1" customWidth="1"/>
  </cols>
  <sheetData>
    <row r="1" spans="1:9" ht="31.5" customHeight="1" thickBot="1" x14ac:dyDescent="0.3">
      <c r="A1" s="2054" t="s">
        <v>635</v>
      </c>
      <c r="B1" s="2055"/>
      <c r="C1" s="2055"/>
      <c r="D1" s="2055"/>
      <c r="E1" s="2055"/>
      <c r="F1" s="2055"/>
      <c r="G1" s="2056"/>
    </row>
    <row r="2" spans="1:9" ht="0.75" customHeight="1" x14ac:dyDescent="0.25">
      <c r="A2" s="262"/>
      <c r="B2" s="29"/>
      <c r="G2" s="57"/>
    </row>
    <row r="3" spans="1:9" ht="0.75" customHeight="1" x14ac:dyDescent="0.2">
      <c r="A3" s="263"/>
      <c r="G3" s="57"/>
    </row>
    <row r="4" spans="1:9" ht="0.75" customHeight="1" x14ac:dyDescent="0.2">
      <c r="A4" s="263"/>
      <c r="G4" s="57"/>
    </row>
    <row r="5" spans="1:9" ht="38.25" customHeight="1" x14ac:dyDescent="0.2">
      <c r="A5" s="863" t="s">
        <v>224</v>
      </c>
      <c r="B5" s="864" t="s">
        <v>220</v>
      </c>
      <c r="C5" s="865" t="s">
        <v>57</v>
      </c>
      <c r="D5" s="865" t="s">
        <v>90</v>
      </c>
      <c r="E5" s="865" t="s">
        <v>91</v>
      </c>
      <c r="F5" s="865" t="s">
        <v>370</v>
      </c>
      <c r="G5" s="866" t="s">
        <v>53</v>
      </c>
      <c r="H5" s="654"/>
      <c r="I5" s="654"/>
    </row>
    <row r="6" spans="1:9" ht="15" customHeight="1" x14ac:dyDescent="0.2">
      <c r="A6" s="681" t="s">
        <v>234</v>
      </c>
      <c r="B6" s="867" t="s">
        <v>96</v>
      </c>
      <c r="C6" s="868"/>
      <c r="D6" s="868"/>
      <c r="E6" s="868"/>
      <c r="F6" s="868"/>
      <c r="G6" s="896"/>
      <c r="H6" s="1092"/>
      <c r="I6" s="1092"/>
    </row>
    <row r="7" spans="1:9" ht="15" customHeight="1" x14ac:dyDescent="0.2">
      <c r="A7" s="875"/>
      <c r="B7" s="907" t="s">
        <v>349</v>
      </c>
      <c r="C7" s="877">
        <v>20539000</v>
      </c>
      <c r="D7" s="877">
        <v>4029000</v>
      </c>
      <c r="E7" s="877">
        <v>28130000</v>
      </c>
      <c r="F7" s="877">
        <f>'15.a.sz.melléklet'!H7+'15.a.sz.melléklet'!H8+'15.a.sz.melléklet'!H9+'15.a.sz.melléklet'!H11</f>
        <v>2600000</v>
      </c>
      <c r="G7" s="908">
        <f>SUM(C7:F7)</f>
        <v>55298000</v>
      </c>
      <c r="H7" s="1092"/>
      <c r="I7" s="1092"/>
    </row>
    <row r="8" spans="1:9" ht="15" customHeight="1" thickBot="1" x14ac:dyDescent="0.25">
      <c r="A8" s="1755"/>
      <c r="B8" s="1765" t="s">
        <v>350</v>
      </c>
      <c r="C8" s="1757">
        <f>SUM(C7)+1554000</f>
        <v>22093000</v>
      </c>
      <c r="D8" s="1757">
        <f>SUM(D7)+272000</f>
        <v>4301000</v>
      </c>
      <c r="E8" s="1757">
        <f t="shared" ref="E8:F8" si="0">SUM(E7)</f>
        <v>28130000</v>
      </c>
      <c r="F8" s="1757">
        <f t="shared" si="0"/>
        <v>2600000</v>
      </c>
      <c r="G8" s="897">
        <f>SUM(C8:F8)</f>
        <v>57124000</v>
      </c>
      <c r="H8" s="1092"/>
      <c r="I8" s="1092"/>
    </row>
    <row r="9" spans="1:9" s="477" customFormat="1" ht="21.75" x14ac:dyDescent="0.2">
      <c r="A9" s="1405" t="s">
        <v>458</v>
      </c>
      <c r="B9" s="1406" t="s">
        <v>459</v>
      </c>
      <c r="C9" s="1383"/>
      <c r="D9" s="1383"/>
      <c r="E9" s="1383"/>
      <c r="F9" s="1383"/>
      <c r="G9" s="896"/>
      <c r="H9" s="1382"/>
      <c r="I9" s="1382"/>
    </row>
    <row r="10" spans="1:9" s="477" customFormat="1" ht="15" customHeight="1" x14ac:dyDescent="0.2">
      <c r="A10" s="686"/>
      <c r="B10" s="907" t="s">
        <v>349</v>
      </c>
      <c r="C10" s="932"/>
      <c r="D10" s="932"/>
      <c r="E10" s="932">
        <f>708000-254000</f>
        <v>454000</v>
      </c>
      <c r="F10" s="932">
        <f>'15.a.sz.melléklet'!H6</f>
        <v>1680000</v>
      </c>
      <c r="G10" s="908">
        <f>SUM(C10:F10)</f>
        <v>2134000</v>
      </c>
      <c r="H10" s="1382"/>
      <c r="I10" s="1382"/>
    </row>
    <row r="11" spans="1:9" s="477" customFormat="1" ht="15" customHeight="1" thickBot="1" x14ac:dyDescent="0.25">
      <c r="A11" s="873"/>
      <c r="B11" s="1508" t="s">
        <v>350</v>
      </c>
      <c r="C11" s="874"/>
      <c r="D11" s="874"/>
      <c r="E11" s="874">
        <f>708000-254000</f>
        <v>454000</v>
      </c>
      <c r="F11" s="874">
        <f>'15.a.sz.melléklet'!I6</f>
        <v>2624000</v>
      </c>
      <c r="G11" s="897">
        <f>SUM(C11:F11)</f>
        <v>3078000</v>
      </c>
      <c r="H11" s="1382"/>
      <c r="I11" s="1382"/>
    </row>
    <row r="12" spans="1:9" ht="15" customHeight="1" x14ac:dyDescent="0.2">
      <c r="A12" s="681" t="s">
        <v>233</v>
      </c>
      <c r="B12" s="867" t="s">
        <v>3</v>
      </c>
      <c r="C12" s="868"/>
      <c r="D12" s="868"/>
      <c r="E12" s="868"/>
      <c r="F12" s="868"/>
      <c r="G12" s="896"/>
      <c r="H12" s="1092"/>
      <c r="I12" s="1092"/>
    </row>
    <row r="13" spans="1:9" ht="15" customHeight="1" x14ac:dyDescent="0.2">
      <c r="A13" s="875"/>
      <c r="B13" s="913" t="s">
        <v>349</v>
      </c>
      <c r="C13" s="877">
        <v>9557000</v>
      </c>
      <c r="D13" s="877">
        <v>1730000</v>
      </c>
      <c r="E13" s="877">
        <v>870000</v>
      </c>
      <c r="F13" s="877">
        <f>'15.a.sz.melléklet'!H10+'15.a.sz.melléklet'!H12</f>
        <v>310000</v>
      </c>
      <c r="G13" s="896">
        <f>SUM(C13:F13)</f>
        <v>12467000</v>
      </c>
      <c r="H13" s="1092"/>
      <c r="I13" s="1092"/>
    </row>
    <row r="14" spans="1:9" ht="15" customHeight="1" thickBot="1" x14ac:dyDescent="0.25">
      <c r="A14" s="1340"/>
      <c r="B14" s="1238" t="s">
        <v>350</v>
      </c>
      <c r="C14" s="1864">
        <f>9557000+490800</f>
        <v>10047800</v>
      </c>
      <c r="D14" s="1864">
        <f>1730000+86000</f>
        <v>1816000</v>
      </c>
      <c r="E14" s="1864">
        <v>870000</v>
      </c>
      <c r="F14" s="1864">
        <v>310000</v>
      </c>
      <c r="G14" s="872">
        <f>SUM(C14:F14)</f>
        <v>13043800</v>
      </c>
      <c r="H14" s="1092"/>
      <c r="I14" s="1092"/>
    </row>
    <row r="15" spans="1:9" ht="15" customHeight="1" x14ac:dyDescent="0.2">
      <c r="A15" s="2133" t="s">
        <v>92</v>
      </c>
      <c r="B15" s="2134"/>
      <c r="C15" s="915"/>
      <c r="D15" s="915"/>
      <c r="E15" s="915"/>
      <c r="F15" s="915"/>
      <c r="G15" s="1384"/>
      <c r="H15" s="1092"/>
      <c r="I15" s="1092"/>
    </row>
    <row r="16" spans="1:9" ht="15" customHeight="1" x14ac:dyDescent="0.2">
      <c r="A16" s="919"/>
      <c r="B16" s="904" t="s">
        <v>349</v>
      </c>
      <c r="C16" s="1950">
        <f t="shared" ref="C16:G17" si="1">C7+C13+C10</f>
        <v>30096000</v>
      </c>
      <c r="D16" s="1950">
        <f t="shared" si="1"/>
        <v>5759000</v>
      </c>
      <c r="E16" s="1950">
        <f t="shared" si="1"/>
        <v>29454000</v>
      </c>
      <c r="F16" s="1950">
        <f t="shared" si="1"/>
        <v>4590000</v>
      </c>
      <c r="G16" s="1950">
        <f>G7+G13+G10</f>
        <v>69899000</v>
      </c>
      <c r="H16" s="1092"/>
      <c r="I16" s="1092"/>
    </row>
    <row r="17" spans="1:9" ht="15" customHeight="1" x14ac:dyDescent="0.2">
      <c r="A17" s="1385"/>
      <c r="B17" s="1386" t="s">
        <v>350</v>
      </c>
      <c r="C17" s="1752">
        <f t="shared" si="1"/>
        <v>32140800</v>
      </c>
      <c r="D17" s="1752">
        <f t="shared" si="1"/>
        <v>6117000</v>
      </c>
      <c r="E17" s="1752">
        <f t="shared" si="1"/>
        <v>29454000</v>
      </c>
      <c r="F17" s="1752">
        <f t="shared" si="1"/>
        <v>5534000</v>
      </c>
      <c r="G17" s="1752">
        <f t="shared" si="1"/>
        <v>73245800</v>
      </c>
      <c r="H17" s="654"/>
      <c r="I17" s="1313"/>
    </row>
    <row r="18" spans="1:9" ht="15" customHeight="1" thickBot="1" x14ac:dyDescent="0.25">
      <c r="A18" s="658"/>
      <c r="B18" s="659"/>
      <c r="C18" s="1354"/>
      <c r="D18" s="1354"/>
      <c r="E18" s="1354"/>
      <c r="F18" s="1354"/>
      <c r="G18" s="1387"/>
      <c r="H18" s="654"/>
      <c r="I18" s="654"/>
    </row>
    <row r="19" spans="1:9" ht="31.5" x14ac:dyDescent="0.2">
      <c r="A19" s="1388" t="s">
        <v>224</v>
      </c>
      <c r="B19" s="864" t="s">
        <v>220</v>
      </c>
      <c r="C19" s="1357" t="s">
        <v>93</v>
      </c>
      <c r="D19" s="1357" t="s">
        <v>282</v>
      </c>
      <c r="E19" s="1357" t="s">
        <v>414</v>
      </c>
      <c r="F19" s="1389"/>
      <c r="G19" s="1390"/>
      <c r="H19" s="654"/>
      <c r="I19" s="654"/>
    </row>
    <row r="20" spans="1:9" ht="15" customHeight="1" x14ac:dyDescent="0.2">
      <c r="A20" s="863" t="s">
        <v>278</v>
      </c>
      <c r="B20" s="924" t="s">
        <v>280</v>
      </c>
      <c r="C20" s="1391"/>
      <c r="D20" s="1342"/>
      <c r="E20" s="1391"/>
      <c r="F20" s="1391"/>
      <c r="G20" s="929"/>
      <c r="H20" s="1092"/>
      <c r="I20" s="654"/>
    </row>
    <row r="21" spans="1:9" ht="15" customHeight="1" x14ac:dyDescent="0.2">
      <c r="A21" s="1380"/>
      <c r="B21" s="1238" t="s">
        <v>349</v>
      </c>
      <c r="C21" s="1391"/>
      <c r="D21" s="1342">
        <f>SUM(G16-C30-E30)</f>
        <v>61764000</v>
      </c>
      <c r="E21" s="1391"/>
      <c r="F21" s="1391"/>
      <c r="G21" s="1392">
        <f>SUM(D21:F21)</f>
        <v>61764000</v>
      </c>
      <c r="H21" s="1092"/>
      <c r="I21" s="654"/>
    </row>
    <row r="22" spans="1:9" ht="15" customHeight="1" thickBot="1" x14ac:dyDescent="0.25">
      <c r="A22" s="1766"/>
      <c r="B22" s="1508" t="s">
        <v>350</v>
      </c>
      <c r="C22" s="1767"/>
      <c r="D22" s="892">
        <f>G17-C24-C27-E25</f>
        <v>65110800</v>
      </c>
      <c r="E22" s="1767"/>
      <c r="F22" s="1767"/>
      <c r="G22" s="1768">
        <f>SUM(D22:F22)</f>
        <v>65110800</v>
      </c>
      <c r="H22" s="1092"/>
      <c r="I22" s="654"/>
    </row>
    <row r="23" spans="1:9" ht="15" customHeight="1" x14ac:dyDescent="0.2">
      <c r="A23" s="681" t="s">
        <v>234</v>
      </c>
      <c r="B23" s="674" t="s">
        <v>96</v>
      </c>
      <c r="C23" s="868"/>
      <c r="D23" s="868"/>
      <c r="E23" s="868"/>
      <c r="F23" s="868"/>
      <c r="G23" s="899"/>
      <c r="H23" s="1092"/>
      <c r="I23" s="654"/>
    </row>
    <row r="24" spans="1:9" ht="15" customHeight="1" x14ac:dyDescent="0.2">
      <c r="A24" s="875"/>
      <c r="B24" s="1238" t="s">
        <v>349</v>
      </c>
      <c r="C24" s="877">
        <v>6650000</v>
      </c>
      <c r="D24" s="877"/>
      <c r="E24" s="877">
        <v>1300000</v>
      </c>
      <c r="F24" s="877"/>
      <c r="G24" s="1392">
        <f>SUM(C24:F24)</f>
        <v>7950000</v>
      </c>
      <c r="H24" s="1092"/>
      <c r="I24" s="654"/>
    </row>
    <row r="25" spans="1:9" ht="15" customHeight="1" thickBot="1" x14ac:dyDescent="0.25">
      <c r="A25" s="1755"/>
      <c r="B25" s="1508" t="s">
        <v>350</v>
      </c>
      <c r="C25" s="1757">
        <f>SUM(C24)</f>
        <v>6650000</v>
      </c>
      <c r="D25" s="1757"/>
      <c r="E25" s="1757">
        <v>1300000</v>
      </c>
      <c r="F25" s="1757"/>
      <c r="G25" s="1768">
        <f>SUM(C25:F25)</f>
        <v>7950000</v>
      </c>
      <c r="H25" s="1092"/>
      <c r="I25" s="654"/>
    </row>
    <row r="26" spans="1:9" ht="15" customHeight="1" x14ac:dyDescent="0.2">
      <c r="A26" s="681" t="s">
        <v>233</v>
      </c>
      <c r="B26" s="674" t="s">
        <v>3</v>
      </c>
      <c r="C26" s="868"/>
      <c r="D26" s="868"/>
      <c r="E26" s="868"/>
      <c r="F26" s="868"/>
      <c r="G26" s="899"/>
      <c r="H26" s="1092"/>
      <c r="I26" s="654"/>
    </row>
    <row r="27" spans="1:9" ht="15" customHeight="1" x14ac:dyDescent="0.2">
      <c r="A27" s="875"/>
      <c r="B27" s="1238" t="s">
        <v>349</v>
      </c>
      <c r="C27" s="877">
        <v>185000</v>
      </c>
      <c r="D27" s="877"/>
      <c r="E27" s="877"/>
      <c r="F27" s="877"/>
      <c r="G27" s="1392">
        <f>SUM(C27:F27)</f>
        <v>185000</v>
      </c>
      <c r="H27" s="1092"/>
      <c r="I27" s="654"/>
    </row>
    <row r="28" spans="1:9" ht="15" customHeight="1" thickBot="1" x14ac:dyDescent="0.25">
      <c r="A28" s="1393"/>
      <c r="B28" s="1238" t="s">
        <v>350</v>
      </c>
      <c r="C28" s="877">
        <f>SUM(C27)</f>
        <v>185000</v>
      </c>
      <c r="D28" s="877"/>
      <c r="E28" s="877"/>
      <c r="F28" s="877"/>
      <c r="G28" s="899">
        <f>SUM(C28:F28)</f>
        <v>185000</v>
      </c>
      <c r="H28" s="1092"/>
      <c r="I28" s="654"/>
    </row>
    <row r="29" spans="1:9" ht="15" customHeight="1" x14ac:dyDescent="0.2">
      <c r="A29" s="2133" t="s">
        <v>94</v>
      </c>
      <c r="B29" s="2134"/>
      <c r="C29" s="915"/>
      <c r="D29" s="915"/>
      <c r="E29" s="915"/>
      <c r="F29" s="915"/>
      <c r="G29" s="1394"/>
      <c r="H29" s="1092"/>
      <c r="I29" s="1313"/>
    </row>
    <row r="30" spans="1:9" ht="15" customHeight="1" x14ac:dyDescent="0.2">
      <c r="A30" s="919"/>
      <c r="B30" s="904" t="s">
        <v>349</v>
      </c>
      <c r="C30" s="1950">
        <f t="shared" ref="C30:G31" si="2">C21+C24+C27</f>
        <v>6835000</v>
      </c>
      <c r="D30" s="1950">
        <f t="shared" si="2"/>
        <v>61764000</v>
      </c>
      <c r="E30" s="1950">
        <f t="shared" si="2"/>
        <v>1300000</v>
      </c>
      <c r="F30" s="1950">
        <f t="shared" si="2"/>
        <v>0</v>
      </c>
      <c r="G30" s="1951">
        <f t="shared" si="2"/>
        <v>69899000</v>
      </c>
      <c r="H30" s="1092"/>
      <c r="I30" s="1313"/>
    </row>
    <row r="31" spans="1:9" ht="15" customHeight="1" x14ac:dyDescent="0.2">
      <c r="A31" s="1385"/>
      <c r="B31" s="1386" t="s">
        <v>350</v>
      </c>
      <c r="C31" s="1752">
        <f t="shared" si="2"/>
        <v>6835000</v>
      </c>
      <c r="D31" s="1752">
        <f t="shared" si="2"/>
        <v>65110800</v>
      </c>
      <c r="E31" s="1752">
        <f t="shared" si="2"/>
        <v>1300000</v>
      </c>
      <c r="F31" s="1752">
        <f t="shared" si="2"/>
        <v>0</v>
      </c>
      <c r="G31" s="1955">
        <f t="shared" si="2"/>
        <v>73245800</v>
      </c>
      <c r="H31" s="654"/>
      <c r="I31" s="1313"/>
    </row>
    <row r="32" spans="1:9" ht="15" customHeight="1" thickBot="1" x14ac:dyDescent="0.25">
      <c r="A32" s="707"/>
      <c r="B32" s="654"/>
      <c r="C32" s="654"/>
      <c r="D32" s="654"/>
      <c r="E32" s="654"/>
      <c r="F32" s="654"/>
      <c r="G32" s="654"/>
      <c r="H32" s="654"/>
      <c r="I32" s="654"/>
    </row>
    <row r="33" spans="1:9" ht="15" customHeight="1" thickBot="1" x14ac:dyDescent="0.3">
      <c r="A33" s="2120" t="s">
        <v>636</v>
      </c>
      <c r="B33" s="2121"/>
      <c r="C33" s="2121"/>
      <c r="D33" s="2121"/>
      <c r="E33" s="2121"/>
      <c r="F33" s="2121"/>
      <c r="G33" s="2122"/>
      <c r="H33" s="654"/>
      <c r="I33" s="654"/>
    </row>
    <row r="34" spans="1:9" ht="21" x14ac:dyDescent="0.2">
      <c r="A34" s="863" t="s">
        <v>224</v>
      </c>
      <c r="B34" s="864" t="s">
        <v>220</v>
      </c>
      <c r="C34" s="865" t="s">
        <v>57</v>
      </c>
      <c r="D34" s="865" t="s">
        <v>90</v>
      </c>
      <c r="E34" s="865" t="s">
        <v>91</v>
      </c>
      <c r="F34" s="865" t="s">
        <v>370</v>
      </c>
      <c r="G34" s="866" t="s">
        <v>53</v>
      </c>
      <c r="H34" s="654"/>
      <c r="I34" s="654"/>
    </row>
    <row r="35" spans="1:9" ht="15" customHeight="1" x14ac:dyDescent="0.2">
      <c r="A35" s="2123" t="s">
        <v>174</v>
      </c>
      <c r="B35" s="2129"/>
      <c r="C35" s="925"/>
      <c r="D35" s="925"/>
      <c r="E35" s="925"/>
      <c r="F35" s="925"/>
      <c r="G35" s="1395"/>
      <c r="H35" s="1092"/>
      <c r="I35" s="654"/>
    </row>
    <row r="36" spans="1:9" ht="15" customHeight="1" x14ac:dyDescent="0.2">
      <c r="A36" s="930" t="s">
        <v>234</v>
      </c>
      <c r="B36" s="931" t="s">
        <v>96</v>
      </c>
      <c r="C36" s="877"/>
      <c r="D36" s="877"/>
      <c r="E36" s="877"/>
      <c r="F36" s="877"/>
      <c r="G36" s="908"/>
      <c r="H36" s="1092"/>
      <c r="I36" s="654"/>
    </row>
    <row r="37" spans="1:9" ht="15" customHeight="1" x14ac:dyDescent="0.2">
      <c r="A37" s="875"/>
      <c r="B37" s="1238" t="s">
        <v>349</v>
      </c>
      <c r="C37" s="877">
        <f t="shared" ref="C37:E38" si="3">C7</f>
        <v>20539000</v>
      </c>
      <c r="D37" s="877">
        <f t="shared" si="3"/>
        <v>4029000</v>
      </c>
      <c r="E37" s="877">
        <f t="shared" si="3"/>
        <v>28130000</v>
      </c>
      <c r="F37" s="877">
        <f>SUM(F7)</f>
        <v>2600000</v>
      </c>
      <c r="G37" s="908">
        <f t="shared" ref="G37:G44" si="4">SUM(C37:F37)</f>
        <v>55298000</v>
      </c>
      <c r="H37" s="1092"/>
      <c r="I37" s="654"/>
    </row>
    <row r="38" spans="1:9" ht="15" customHeight="1" thickBot="1" x14ac:dyDescent="0.25">
      <c r="A38" s="1755"/>
      <c r="B38" s="1508" t="s">
        <v>350</v>
      </c>
      <c r="C38" s="1757">
        <f t="shared" si="3"/>
        <v>22093000</v>
      </c>
      <c r="D38" s="1757">
        <f t="shared" si="3"/>
        <v>4301000</v>
      </c>
      <c r="E38" s="1757">
        <f t="shared" si="3"/>
        <v>28130000</v>
      </c>
      <c r="F38" s="1757">
        <f>SUM(F8)</f>
        <v>2600000</v>
      </c>
      <c r="G38" s="897">
        <f t="shared" si="4"/>
        <v>57124000</v>
      </c>
      <c r="H38" s="1092"/>
      <c r="I38" s="654"/>
    </row>
    <row r="39" spans="1:9" s="477" customFormat="1" ht="21.75" x14ac:dyDescent="0.2">
      <c r="A39" s="1405" t="s">
        <v>458</v>
      </c>
      <c r="B39" s="1406" t="s">
        <v>459</v>
      </c>
      <c r="C39" s="1383"/>
      <c r="D39" s="1383"/>
      <c r="E39" s="1383"/>
      <c r="F39" s="1383"/>
      <c r="G39" s="896"/>
      <c r="H39" s="1382"/>
      <c r="I39" s="638"/>
    </row>
    <row r="40" spans="1:9" s="477" customFormat="1" ht="15" customHeight="1" x14ac:dyDescent="0.2">
      <c r="A40" s="686"/>
      <c r="B40" s="1238" t="s">
        <v>349</v>
      </c>
      <c r="C40" s="932"/>
      <c r="D40" s="932"/>
      <c r="E40" s="932">
        <f>SUM(E10)</f>
        <v>454000</v>
      </c>
      <c r="F40" s="932">
        <f>SUM(F10)</f>
        <v>1680000</v>
      </c>
      <c r="G40" s="1396">
        <f>SUM(G10)</f>
        <v>2134000</v>
      </c>
      <c r="H40" s="1382"/>
      <c r="I40" s="638"/>
    </row>
    <row r="41" spans="1:9" s="477" customFormat="1" ht="15" customHeight="1" thickBot="1" x14ac:dyDescent="0.25">
      <c r="A41" s="873"/>
      <c r="B41" s="1508" t="s">
        <v>350</v>
      </c>
      <c r="C41" s="874"/>
      <c r="D41" s="874"/>
      <c r="E41" s="874">
        <f>SUM(E11)</f>
        <v>454000</v>
      </c>
      <c r="F41" s="874">
        <f>SUM(F11)</f>
        <v>2624000</v>
      </c>
      <c r="G41" s="897">
        <f>SUM(C41:F41)</f>
        <v>3078000</v>
      </c>
      <c r="H41" s="1382"/>
      <c r="I41" s="638"/>
    </row>
    <row r="42" spans="1:9" ht="15" customHeight="1" x14ac:dyDescent="0.2">
      <c r="A42" s="681" t="s">
        <v>233</v>
      </c>
      <c r="B42" s="674" t="s">
        <v>3</v>
      </c>
      <c r="C42" s="868"/>
      <c r="D42" s="868"/>
      <c r="E42" s="868"/>
      <c r="F42" s="868"/>
      <c r="G42" s="896"/>
      <c r="H42" s="1092"/>
      <c r="I42" s="654"/>
    </row>
    <row r="43" spans="1:9" ht="15" customHeight="1" x14ac:dyDescent="0.2">
      <c r="A43" s="875"/>
      <c r="B43" s="1238" t="s">
        <v>349</v>
      </c>
      <c r="C43" s="877">
        <f>C13</f>
        <v>9557000</v>
      </c>
      <c r="D43" s="877">
        <f>D13</f>
        <v>1730000</v>
      </c>
      <c r="E43" s="877">
        <f>SUM(E13)</f>
        <v>870000</v>
      </c>
      <c r="F43" s="877">
        <f>SUM(F13)</f>
        <v>310000</v>
      </c>
      <c r="G43" s="908">
        <f t="shared" si="4"/>
        <v>12467000</v>
      </c>
      <c r="H43" s="1092"/>
      <c r="I43" s="654"/>
    </row>
    <row r="44" spans="1:9" ht="15" customHeight="1" thickBot="1" x14ac:dyDescent="0.25">
      <c r="A44" s="1393"/>
      <c r="B44" s="1238" t="s">
        <v>350</v>
      </c>
      <c r="C44" s="877">
        <f>C14</f>
        <v>10047800</v>
      </c>
      <c r="D44" s="877">
        <f>D14</f>
        <v>1816000</v>
      </c>
      <c r="E44" s="877">
        <f>E14</f>
        <v>870000</v>
      </c>
      <c r="F44" s="877">
        <f>SUM(F14)</f>
        <v>310000</v>
      </c>
      <c r="G44" s="872">
        <f t="shared" si="4"/>
        <v>13043800</v>
      </c>
      <c r="H44" s="1092"/>
      <c r="I44" s="654"/>
    </row>
    <row r="45" spans="1:9" ht="15" customHeight="1" x14ac:dyDescent="0.2">
      <c r="A45" s="2133" t="s">
        <v>92</v>
      </c>
      <c r="B45" s="2134"/>
      <c r="C45" s="915"/>
      <c r="D45" s="915"/>
      <c r="E45" s="915"/>
      <c r="F45" s="915"/>
      <c r="G45" s="1384"/>
      <c r="H45" s="1092"/>
      <c r="I45" s="654"/>
    </row>
    <row r="46" spans="1:9" ht="15" customHeight="1" x14ac:dyDescent="0.2">
      <c r="A46" s="917"/>
      <c r="B46" s="918" t="s">
        <v>349</v>
      </c>
      <c r="C46" s="1946">
        <f t="shared" ref="C46:G47" si="5">C37+C43+C40</f>
        <v>30096000</v>
      </c>
      <c r="D46" s="1946">
        <f t="shared" si="5"/>
        <v>5759000</v>
      </c>
      <c r="E46" s="1946">
        <f t="shared" si="5"/>
        <v>29454000</v>
      </c>
      <c r="F46" s="1946">
        <f t="shared" si="5"/>
        <v>4590000</v>
      </c>
      <c r="G46" s="1946">
        <f t="shared" si="5"/>
        <v>69899000</v>
      </c>
      <c r="H46" s="1092"/>
      <c r="I46" s="654"/>
    </row>
    <row r="47" spans="1:9" ht="15" customHeight="1" thickBot="1" x14ac:dyDescent="0.25">
      <c r="A47" s="919"/>
      <c r="B47" s="904" t="s">
        <v>350</v>
      </c>
      <c r="C47" s="1950">
        <f t="shared" si="5"/>
        <v>32140800</v>
      </c>
      <c r="D47" s="1950">
        <f t="shared" si="5"/>
        <v>6117000</v>
      </c>
      <c r="E47" s="1950">
        <f t="shared" si="5"/>
        <v>29454000</v>
      </c>
      <c r="F47" s="1950">
        <f t="shared" si="5"/>
        <v>5534000</v>
      </c>
      <c r="G47" s="1950">
        <f t="shared" si="5"/>
        <v>73245800</v>
      </c>
      <c r="H47" s="654"/>
      <c r="I47" s="654"/>
    </row>
    <row r="48" spans="1:9" ht="15" customHeight="1" thickBot="1" x14ac:dyDescent="0.25">
      <c r="A48" s="658"/>
      <c r="B48" s="1408"/>
      <c r="C48" s="1397"/>
      <c r="D48" s="1397"/>
      <c r="E48" s="1397"/>
      <c r="F48" s="1397"/>
      <c r="G48" s="1387"/>
      <c r="H48" s="654"/>
      <c r="I48" s="654"/>
    </row>
    <row r="49" spans="1:9" ht="31.5" x14ac:dyDescent="0.2">
      <c r="A49" s="1388" t="s">
        <v>224</v>
      </c>
      <c r="B49" s="1407" t="s">
        <v>220</v>
      </c>
      <c r="C49" s="1357" t="s">
        <v>93</v>
      </c>
      <c r="D49" s="1357" t="s">
        <v>296</v>
      </c>
      <c r="E49" s="1357" t="s">
        <v>414</v>
      </c>
      <c r="F49" s="1389"/>
      <c r="G49" s="1390"/>
      <c r="H49" s="654"/>
      <c r="I49" s="654"/>
    </row>
    <row r="50" spans="1:9" ht="15" customHeight="1" x14ac:dyDescent="0.2">
      <c r="A50" s="2123" t="s">
        <v>174</v>
      </c>
      <c r="B50" s="2129"/>
      <c r="C50" s="1398"/>
      <c r="D50" s="1398"/>
      <c r="E50" s="1398"/>
      <c r="F50" s="1398"/>
      <c r="G50" s="1399"/>
      <c r="H50" s="654"/>
      <c r="I50" s="654"/>
    </row>
    <row r="51" spans="1:9" ht="15" customHeight="1" x14ac:dyDescent="0.2">
      <c r="A51" s="923" t="s">
        <v>278</v>
      </c>
      <c r="B51" s="924" t="s">
        <v>284</v>
      </c>
      <c r="C51" s="1400"/>
      <c r="D51" s="1342"/>
      <c r="E51" s="1342"/>
      <c r="F51" s="1342"/>
      <c r="G51" s="929"/>
      <c r="H51" s="1092"/>
      <c r="I51" s="1092"/>
    </row>
    <row r="52" spans="1:9" ht="15" customHeight="1" x14ac:dyDescent="0.2">
      <c r="A52" s="1237"/>
      <c r="B52" s="1238" t="s">
        <v>349</v>
      </c>
      <c r="C52" s="1400"/>
      <c r="D52" s="1342">
        <f>D21</f>
        <v>61764000</v>
      </c>
      <c r="E52" s="1342"/>
      <c r="F52" s="1342"/>
      <c r="G52" s="929">
        <f>SUM(D52:F52)</f>
        <v>61764000</v>
      </c>
      <c r="H52" s="1092"/>
      <c r="I52" s="1092"/>
    </row>
    <row r="53" spans="1:9" ht="15" customHeight="1" thickBot="1" x14ac:dyDescent="0.25">
      <c r="A53" s="675"/>
      <c r="B53" s="1508" t="s">
        <v>350</v>
      </c>
      <c r="C53" s="1769"/>
      <c r="D53" s="892">
        <f>D22</f>
        <v>65110800</v>
      </c>
      <c r="E53" s="892"/>
      <c r="F53" s="892"/>
      <c r="G53" s="893">
        <f>SUM(D53:F53)</f>
        <v>65110800</v>
      </c>
      <c r="H53" s="1092"/>
      <c r="I53" s="1092"/>
    </row>
    <row r="54" spans="1:9" ht="15" customHeight="1" x14ac:dyDescent="0.2">
      <c r="A54" s="681" t="s">
        <v>234</v>
      </c>
      <c r="B54" s="674" t="s">
        <v>96</v>
      </c>
      <c r="C54" s="868"/>
      <c r="D54" s="868"/>
      <c r="E54" s="868"/>
      <c r="F54" s="868"/>
      <c r="G54" s="894"/>
      <c r="H54" s="1092"/>
      <c r="I54" s="1092"/>
    </row>
    <row r="55" spans="1:9" ht="15" customHeight="1" x14ac:dyDescent="0.2">
      <c r="A55" s="875"/>
      <c r="B55" s="1238" t="s">
        <v>349</v>
      </c>
      <c r="C55" s="877">
        <f>C24</f>
        <v>6650000</v>
      </c>
      <c r="D55" s="877">
        <f>D24</f>
        <v>0</v>
      </c>
      <c r="E55" s="877">
        <f>E24</f>
        <v>1300000</v>
      </c>
      <c r="F55" s="877">
        <f>F24</f>
        <v>0</v>
      </c>
      <c r="G55" s="929">
        <f>SUM(C55:F55)</f>
        <v>7950000</v>
      </c>
      <c r="H55" s="1092"/>
      <c r="I55" s="1092"/>
    </row>
    <row r="56" spans="1:9" ht="15" customHeight="1" thickBot="1" x14ac:dyDescent="0.25">
      <c r="A56" s="1755"/>
      <c r="B56" s="1508" t="s">
        <v>350</v>
      </c>
      <c r="C56" s="1757">
        <f>C25</f>
        <v>6650000</v>
      </c>
      <c r="D56" s="1757"/>
      <c r="E56" s="1757">
        <f>E55</f>
        <v>1300000</v>
      </c>
      <c r="F56" s="1757"/>
      <c r="G56" s="893">
        <f>SUM(C56:F56)</f>
        <v>7950000</v>
      </c>
      <c r="H56" s="1092"/>
      <c r="I56" s="1092"/>
    </row>
    <row r="57" spans="1:9" ht="15" customHeight="1" x14ac:dyDescent="0.2">
      <c r="A57" s="681" t="s">
        <v>233</v>
      </c>
      <c r="B57" s="674" t="s">
        <v>3</v>
      </c>
      <c r="C57" s="868"/>
      <c r="D57" s="868"/>
      <c r="E57" s="868"/>
      <c r="F57" s="868"/>
      <c r="G57" s="894"/>
      <c r="H57" s="1092"/>
      <c r="I57" s="1092"/>
    </row>
    <row r="58" spans="1:9" ht="15" customHeight="1" x14ac:dyDescent="0.2">
      <c r="A58" s="875"/>
      <c r="B58" s="1238" t="s">
        <v>349</v>
      </c>
      <c r="C58" s="877">
        <f>C27</f>
        <v>185000</v>
      </c>
      <c r="D58" s="877">
        <f>D27</f>
        <v>0</v>
      </c>
      <c r="E58" s="877">
        <f>E27</f>
        <v>0</v>
      </c>
      <c r="F58" s="877">
        <f>F27</f>
        <v>0</v>
      </c>
      <c r="G58" s="929">
        <f>SUM(C58:F58)</f>
        <v>185000</v>
      </c>
      <c r="H58" s="1092"/>
      <c r="I58" s="1092"/>
    </row>
    <row r="59" spans="1:9" ht="15" customHeight="1" thickBot="1" x14ac:dyDescent="0.25">
      <c r="A59" s="1393"/>
      <c r="B59" s="1238" t="s">
        <v>350</v>
      </c>
      <c r="C59" s="877">
        <f>C28</f>
        <v>185000</v>
      </c>
      <c r="D59" s="877"/>
      <c r="E59" s="877"/>
      <c r="F59" s="877"/>
      <c r="G59" s="899">
        <f>SUM(C59:F59)</f>
        <v>185000</v>
      </c>
      <c r="H59" s="1092"/>
      <c r="I59" s="1092"/>
    </row>
    <row r="60" spans="1:9" ht="15" customHeight="1" x14ac:dyDescent="0.2">
      <c r="A60" s="2133" t="s">
        <v>94</v>
      </c>
      <c r="B60" s="2134"/>
      <c r="C60" s="915"/>
      <c r="D60" s="915"/>
      <c r="E60" s="915"/>
      <c r="F60" s="915"/>
      <c r="G60" s="1401"/>
      <c r="H60" s="1092"/>
      <c r="I60" s="1092"/>
    </row>
    <row r="61" spans="1:9" ht="15" customHeight="1" x14ac:dyDescent="0.2">
      <c r="A61" s="1402"/>
      <c r="B61" s="918" t="s">
        <v>349</v>
      </c>
      <c r="C61" s="1956">
        <f t="shared" ref="C61:G62" si="6">C52+C55+C58</f>
        <v>6835000</v>
      </c>
      <c r="D61" s="1956">
        <f t="shared" si="6"/>
        <v>61764000</v>
      </c>
      <c r="E61" s="1956">
        <f t="shared" si="6"/>
        <v>1300000</v>
      </c>
      <c r="F61" s="1956">
        <f t="shared" si="6"/>
        <v>0</v>
      </c>
      <c r="G61" s="1957">
        <f t="shared" si="6"/>
        <v>69899000</v>
      </c>
      <c r="H61" s="1092"/>
      <c r="I61" s="1092"/>
    </row>
    <row r="62" spans="1:9" ht="15" customHeight="1" x14ac:dyDescent="0.2">
      <c r="A62" s="939"/>
      <c r="B62" s="904" t="s">
        <v>350</v>
      </c>
      <c r="C62" s="1958">
        <f t="shared" si="6"/>
        <v>6835000</v>
      </c>
      <c r="D62" s="1958">
        <f t="shared" si="6"/>
        <v>65110800</v>
      </c>
      <c r="E62" s="1958">
        <f t="shared" si="6"/>
        <v>1300000</v>
      </c>
      <c r="F62" s="1958">
        <f t="shared" si="6"/>
        <v>0</v>
      </c>
      <c r="G62" s="1959">
        <f t="shared" si="6"/>
        <v>73245800</v>
      </c>
      <c r="H62" s="1092"/>
      <c r="I62" s="1092"/>
    </row>
    <row r="63" spans="1:9" ht="15" customHeight="1" x14ac:dyDescent="0.2">
      <c r="A63" s="707"/>
      <c r="B63" s="709"/>
      <c r="C63" s="1092"/>
      <c r="D63" s="1092"/>
      <c r="E63" s="1092"/>
      <c r="F63" s="1092"/>
      <c r="G63" s="1092"/>
      <c r="H63" s="1092"/>
      <c r="I63" s="1092"/>
    </row>
    <row r="64" spans="1:9" x14ac:dyDescent="0.2">
      <c r="A64" s="714"/>
      <c r="B64" s="711"/>
      <c r="C64" s="711"/>
      <c r="D64" s="711"/>
      <c r="E64" s="711"/>
      <c r="F64" s="711"/>
      <c r="G64" s="654"/>
      <c r="H64" s="654"/>
      <c r="I64" s="654"/>
    </row>
    <row r="65" spans="1:9" x14ac:dyDescent="0.2">
      <c r="A65" s="707"/>
      <c r="B65" s="709"/>
      <c r="C65" s="709"/>
      <c r="D65" s="709"/>
      <c r="E65" s="709"/>
      <c r="F65" s="709"/>
      <c r="G65" s="654"/>
      <c r="H65" s="654"/>
      <c r="I65" s="654"/>
    </row>
    <row r="66" spans="1:9" x14ac:dyDescent="0.2">
      <c r="A66" s="707"/>
      <c r="B66" s="709"/>
      <c r="C66" s="709"/>
      <c r="D66" s="709"/>
      <c r="E66" s="709"/>
      <c r="F66" s="709"/>
      <c r="G66" s="654"/>
      <c r="H66" s="654"/>
      <c r="I66" s="654"/>
    </row>
    <row r="67" spans="1:9" x14ac:dyDescent="0.2">
      <c r="A67" s="714"/>
      <c r="B67" s="712"/>
      <c r="C67" s="712"/>
      <c r="D67" s="712"/>
      <c r="E67" s="712"/>
      <c r="F67" s="712"/>
      <c r="G67" s="654"/>
      <c r="H67" s="654"/>
      <c r="I67" s="654"/>
    </row>
  </sheetData>
  <mergeCells count="8">
    <mergeCell ref="A60:B60"/>
    <mergeCell ref="A1:G1"/>
    <mergeCell ref="A33:G33"/>
    <mergeCell ref="A35:B35"/>
    <mergeCell ref="A50:B50"/>
    <mergeCell ref="A15:B15"/>
    <mergeCell ref="A29:B29"/>
    <mergeCell ref="A45:B45"/>
  </mergeCells>
  <phoneticPr fontId="3" type="noConversion"/>
  <pageMargins left="0.7" right="0.7" top="0.75" bottom="0.75" header="0.3" footer="0.3"/>
  <pageSetup paperSize="9" scale="52" orientation="landscape" r:id="rId1"/>
  <headerFooter alignWithMargins="0">
    <oddHeader>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I93"/>
  <sheetViews>
    <sheetView topLeftCell="B1" workbookViewId="0">
      <selection activeCell="C1" sqref="C1:I14"/>
    </sheetView>
  </sheetViews>
  <sheetFormatPr defaultRowHeight="12.75" x14ac:dyDescent="0.2"/>
  <cols>
    <col min="1" max="1" width="0.85546875" style="3" hidden="1" customWidth="1"/>
    <col min="2" max="2" width="0.85546875" style="4" customWidth="1"/>
    <col min="3" max="3" width="20.7109375" style="4" customWidth="1"/>
    <col min="4" max="4" width="14" customWidth="1"/>
    <col min="5" max="5" width="13.85546875" customWidth="1"/>
    <col min="6" max="6" width="7.85546875" customWidth="1"/>
    <col min="7" max="7" width="42.28515625" style="1" customWidth="1"/>
    <col min="8" max="8" width="22.7109375" customWidth="1"/>
    <col min="9" max="9" width="13" style="1" customWidth="1"/>
  </cols>
  <sheetData>
    <row r="1" spans="1:9" ht="20.25" thickBot="1" x14ac:dyDescent="0.4">
      <c r="A1" s="26" t="s">
        <v>22</v>
      </c>
      <c r="B1" s="26"/>
      <c r="C1" s="2051" t="s">
        <v>581</v>
      </c>
      <c r="D1" s="2052"/>
      <c r="E1" s="2052"/>
      <c r="F1" s="2052"/>
      <c r="G1" s="2052"/>
      <c r="H1" s="2052"/>
      <c r="I1" s="1875"/>
    </row>
    <row r="2" spans="1:9" ht="20.25" thickBot="1" x14ac:dyDescent="0.4">
      <c r="A2" s="26"/>
      <c r="B2" s="26"/>
      <c r="C2" s="145"/>
      <c r="D2" s="1799"/>
      <c r="E2" s="1799"/>
      <c r="F2" s="1800"/>
      <c r="G2" s="102"/>
      <c r="H2" s="1801"/>
      <c r="I2" s="1875"/>
    </row>
    <row r="3" spans="1:9" ht="16.5" thickBot="1" x14ac:dyDescent="0.3">
      <c r="A3" s="4"/>
      <c r="C3" s="92"/>
      <c r="D3" s="1439" t="s">
        <v>5</v>
      </c>
      <c r="E3" s="1439"/>
      <c r="F3" s="93"/>
      <c r="G3" s="86"/>
      <c r="H3" s="1439" t="s">
        <v>106</v>
      </c>
      <c r="I3" s="1871"/>
    </row>
    <row r="4" spans="1:9" ht="3" customHeight="1" x14ac:dyDescent="0.25">
      <c r="A4" s="4"/>
      <c r="C4" s="96"/>
      <c r="D4" s="97"/>
      <c r="E4" s="97"/>
      <c r="F4" s="98"/>
      <c r="G4" s="1872"/>
      <c r="H4" s="97"/>
      <c r="I4" s="1870"/>
    </row>
    <row r="5" spans="1:9" ht="15" x14ac:dyDescent="0.25">
      <c r="A5" s="4"/>
      <c r="C5" s="1884"/>
      <c r="D5" s="1885" t="s">
        <v>358</v>
      </c>
      <c r="E5" s="1885" t="s">
        <v>646</v>
      </c>
      <c r="F5" s="1883"/>
      <c r="G5" s="1882"/>
      <c r="H5" s="1883" t="s">
        <v>358</v>
      </c>
      <c r="I5" s="1907" t="s">
        <v>646</v>
      </c>
    </row>
    <row r="6" spans="1:9" ht="15" customHeight="1" x14ac:dyDescent="0.25">
      <c r="A6" s="4"/>
      <c r="C6" s="144"/>
      <c r="D6" s="1873"/>
      <c r="E6" s="1873"/>
      <c r="F6" s="317"/>
      <c r="G6" s="144" t="s">
        <v>394</v>
      </c>
      <c r="H6" s="1876">
        <v>1680000</v>
      </c>
      <c r="I6" s="1908">
        <f>1680000+944000</f>
        <v>2624000</v>
      </c>
    </row>
    <row r="7" spans="1:9" s="1093" customFormat="1" ht="15" customHeight="1" x14ac:dyDescent="0.25">
      <c r="A7" s="4"/>
      <c r="B7" s="4"/>
      <c r="C7" s="144"/>
      <c r="D7" s="1873"/>
      <c r="E7" s="1873"/>
      <c r="F7" s="317"/>
      <c r="G7" s="144" t="s">
        <v>603</v>
      </c>
      <c r="H7" s="1876">
        <v>1000000</v>
      </c>
      <c r="I7" s="1908">
        <v>1000000</v>
      </c>
    </row>
    <row r="8" spans="1:9" ht="15" customHeight="1" x14ac:dyDescent="0.25">
      <c r="A8" s="4"/>
      <c r="C8" s="144"/>
      <c r="D8" s="1873"/>
      <c r="E8" s="1873"/>
      <c r="F8" s="317"/>
      <c r="G8" s="380" t="s">
        <v>471</v>
      </c>
      <c r="H8" s="1877">
        <v>500000</v>
      </c>
      <c r="I8" s="1909">
        <v>500000</v>
      </c>
    </row>
    <row r="9" spans="1:9" ht="15" customHeight="1" x14ac:dyDescent="0.25">
      <c r="A9" s="4"/>
      <c r="C9" s="144"/>
      <c r="D9" s="1873"/>
      <c r="E9" s="1873"/>
      <c r="F9" s="317"/>
      <c r="G9" s="144" t="s">
        <v>602</v>
      </c>
      <c r="H9" s="1877">
        <v>300000</v>
      </c>
      <c r="I9" s="1909">
        <v>300000</v>
      </c>
    </row>
    <row r="10" spans="1:9" ht="15" customHeight="1" x14ac:dyDescent="0.25">
      <c r="A10" s="4"/>
      <c r="C10" s="144"/>
      <c r="D10" s="1874"/>
      <c r="E10" s="1874"/>
      <c r="F10" s="318"/>
      <c r="G10" s="351" t="s">
        <v>599</v>
      </c>
      <c r="H10" s="1878">
        <v>210000</v>
      </c>
      <c r="I10" s="1910">
        <v>210000</v>
      </c>
    </row>
    <row r="11" spans="1:9" ht="15" customHeight="1" x14ac:dyDescent="0.25">
      <c r="A11" s="4"/>
      <c r="B11" s="1868"/>
      <c r="C11" s="370"/>
      <c r="D11" s="1874"/>
      <c r="E11" s="1874"/>
      <c r="F11" s="318"/>
      <c r="G11" s="351" t="s">
        <v>600</v>
      </c>
      <c r="H11" s="1878">
        <v>800000</v>
      </c>
      <c r="I11" s="1910">
        <v>800000</v>
      </c>
    </row>
    <row r="12" spans="1:9" ht="15" customHeight="1" thickBot="1" x14ac:dyDescent="0.3">
      <c r="A12" s="4"/>
      <c r="B12" s="1868"/>
      <c r="C12" s="382"/>
      <c r="D12" s="383"/>
      <c r="E12" s="383"/>
      <c r="F12" s="586"/>
      <c r="G12" s="381" t="s">
        <v>601</v>
      </c>
      <c r="H12" s="1879">
        <v>100000</v>
      </c>
      <c r="I12" s="1911">
        <v>100000</v>
      </c>
    </row>
    <row r="13" spans="1:9" ht="15" customHeight="1" thickBot="1" x14ac:dyDescent="0.3">
      <c r="A13"/>
      <c r="B13" s="272"/>
      <c r="C13" s="94" t="s">
        <v>53</v>
      </c>
      <c r="D13" s="319">
        <f>SUM(D6:D11)</f>
        <v>0</v>
      </c>
      <c r="E13" s="187">
        <f>SUM(E6:E11)</f>
        <v>0</v>
      </c>
      <c r="F13" s="409"/>
      <c r="G13" s="344"/>
      <c r="H13" s="1880">
        <f>SUM(H6:H12)</f>
        <v>4590000</v>
      </c>
      <c r="I13" s="1912">
        <f>SUM(I6:I12)</f>
        <v>5534000</v>
      </c>
    </row>
    <row r="14" spans="1:9" ht="15" customHeight="1" thickBot="1" x14ac:dyDescent="0.3">
      <c r="A14"/>
      <c r="B14"/>
      <c r="C14" s="322" t="s">
        <v>359</v>
      </c>
      <c r="D14" s="227"/>
      <c r="E14" s="188"/>
      <c r="F14" s="189"/>
      <c r="G14" s="323"/>
      <c r="H14" s="1881">
        <f>SUM(H13+D13)</f>
        <v>4590000</v>
      </c>
      <c r="I14" s="1906">
        <f>SUM(I13)</f>
        <v>5534000</v>
      </c>
    </row>
    <row r="15" spans="1:9" ht="0.2" customHeight="1" thickBot="1" x14ac:dyDescent="0.3">
      <c r="A15"/>
      <c r="B15"/>
      <c r="C15" s="946" t="s">
        <v>360</v>
      </c>
      <c r="D15" s="227"/>
      <c r="E15" s="946"/>
      <c r="F15" s="1869"/>
      <c r="G15" s="323"/>
      <c r="H15" s="1869"/>
      <c r="I15" s="84"/>
    </row>
    <row r="16" spans="1:9" s="490" customFormat="1" ht="0.2" customHeight="1" thickBot="1" x14ac:dyDescent="0.3">
      <c r="A16" s="483" t="s">
        <v>6</v>
      </c>
      <c r="B16" s="483"/>
      <c r="C16" s="484" t="s">
        <v>417</v>
      </c>
      <c r="D16" s="485"/>
      <c r="E16" s="484"/>
      <c r="F16" s="486"/>
      <c r="G16" s="487"/>
      <c r="H16" s="486"/>
      <c r="I16" s="489"/>
    </row>
    <row r="17" spans="1:8" ht="15" customHeight="1" x14ac:dyDescent="0.25">
      <c r="A17"/>
      <c r="B17"/>
      <c r="C17" s="19"/>
      <c r="D17" s="20"/>
      <c r="E17" s="20"/>
      <c r="F17" s="6"/>
      <c r="H17" s="585"/>
    </row>
    <row r="18" spans="1:8" ht="15" customHeight="1" x14ac:dyDescent="0.2">
      <c r="C18"/>
      <c r="D18" s="1"/>
      <c r="E18" s="1"/>
      <c r="F18" s="16"/>
      <c r="G18"/>
    </row>
    <row r="19" spans="1:8" ht="15" customHeight="1" x14ac:dyDescent="0.2">
      <c r="A19" s="5"/>
      <c r="B19" s="5"/>
    </row>
    <row r="20" spans="1:8" ht="15" customHeight="1" x14ac:dyDescent="0.2">
      <c r="A20" s="7"/>
      <c r="B20" s="7"/>
      <c r="C20" s="5"/>
    </row>
    <row r="21" spans="1:8" x14ac:dyDescent="0.2">
      <c r="A21" s="7"/>
      <c r="B21" s="7"/>
      <c r="C21" s="7"/>
    </row>
    <row r="22" spans="1:8" x14ac:dyDescent="0.2">
      <c r="A22" s="7"/>
      <c r="B22" s="7"/>
      <c r="C22" s="7"/>
    </row>
    <row r="23" spans="1:8" x14ac:dyDescent="0.2">
      <c r="A23" s="7"/>
      <c r="B23" s="7"/>
      <c r="C23" s="7"/>
    </row>
    <row r="24" spans="1:8" x14ac:dyDescent="0.2">
      <c r="A24" s="7"/>
      <c r="B24" s="7"/>
      <c r="C24" s="7"/>
    </row>
    <row r="25" spans="1:8" x14ac:dyDescent="0.2">
      <c r="A25" s="7"/>
      <c r="B25" s="7"/>
      <c r="C25" s="7"/>
    </row>
    <row r="26" spans="1:8" x14ac:dyDescent="0.2">
      <c r="A26" s="7"/>
      <c r="B26" s="7"/>
      <c r="C26" s="7"/>
    </row>
    <row r="27" spans="1:8" x14ac:dyDescent="0.2">
      <c r="A27" s="7"/>
      <c r="B27" s="7"/>
      <c r="C27" s="7"/>
    </row>
    <row r="28" spans="1:8" x14ac:dyDescent="0.2">
      <c r="A28" s="7"/>
      <c r="B28" s="7"/>
      <c r="C28" s="7"/>
    </row>
    <row r="29" spans="1:8" x14ac:dyDescent="0.2">
      <c r="A29" s="7"/>
      <c r="B29" s="7"/>
      <c r="C29" s="7"/>
    </row>
    <row r="30" spans="1:8" x14ac:dyDescent="0.2">
      <c r="A30" s="7"/>
      <c r="B30" s="7"/>
      <c r="C30" s="7"/>
    </row>
    <row r="31" spans="1:8" x14ac:dyDescent="0.2">
      <c r="A31" s="7"/>
      <c r="B31" s="7"/>
      <c r="C31" s="7"/>
    </row>
    <row r="32" spans="1:8" x14ac:dyDescent="0.2">
      <c r="A32" s="7"/>
      <c r="B32" s="7"/>
      <c r="C32" s="7"/>
    </row>
    <row r="33" spans="1:9" x14ac:dyDescent="0.2">
      <c r="A33" s="7"/>
      <c r="B33" s="7"/>
      <c r="C33" s="7"/>
    </row>
    <row r="34" spans="1:9" x14ac:dyDescent="0.2">
      <c r="A34" s="7"/>
      <c r="B34" s="7"/>
      <c r="C34" s="7"/>
    </row>
    <row r="35" spans="1:9" x14ac:dyDescent="0.2">
      <c r="A35" s="7"/>
      <c r="B35" s="7"/>
      <c r="C35" s="7"/>
    </row>
    <row r="36" spans="1:9" x14ac:dyDescent="0.2">
      <c r="A36" s="7"/>
      <c r="B36" s="7"/>
      <c r="C36" s="7"/>
    </row>
    <row r="37" spans="1:9" x14ac:dyDescent="0.2">
      <c r="A37" s="7"/>
      <c r="B37" s="7"/>
      <c r="C37" s="7"/>
    </row>
    <row r="38" spans="1:9" x14ac:dyDescent="0.2">
      <c r="A38" s="6"/>
      <c r="B38" s="6"/>
      <c r="C38" s="7"/>
    </row>
    <row r="39" spans="1:9" x14ac:dyDescent="0.2">
      <c r="A39" s="1"/>
      <c r="B39" s="1"/>
      <c r="C39" s="6"/>
    </row>
    <row r="40" spans="1:9" x14ac:dyDescent="0.2">
      <c r="A40" s="17"/>
      <c r="B40" s="17"/>
      <c r="C40" s="1"/>
    </row>
    <row r="41" spans="1:9" x14ac:dyDescent="0.2">
      <c r="A41" s="17"/>
      <c r="B41" s="17"/>
      <c r="C41" s="17"/>
    </row>
    <row r="42" spans="1:9" x14ac:dyDescent="0.2">
      <c r="A42" s="17"/>
      <c r="B42" s="17"/>
      <c r="C42" s="17"/>
    </row>
    <row r="43" spans="1:9" s="2" customFormat="1" ht="15.75" x14ac:dyDescent="0.25">
      <c r="A43" s="18"/>
      <c r="B43" s="18"/>
      <c r="C43" s="17"/>
      <c r="D43"/>
      <c r="E43"/>
      <c r="F43"/>
      <c r="G43" s="1"/>
      <c r="H43"/>
      <c r="I43" s="1"/>
    </row>
    <row r="44" spans="1:9" ht="15.75" x14ac:dyDescent="0.25">
      <c r="A44" s="17"/>
      <c r="B44" s="17"/>
      <c r="C44" s="18"/>
    </row>
    <row r="45" spans="1:9" x14ac:dyDescent="0.2">
      <c r="A45"/>
      <c r="B45"/>
      <c r="C45" s="17"/>
    </row>
    <row r="46" spans="1:9" x14ac:dyDescent="0.2">
      <c r="A46"/>
      <c r="B46"/>
      <c r="C46"/>
    </row>
    <row r="47" spans="1:9" x14ac:dyDescent="0.2">
      <c r="A47"/>
      <c r="B47"/>
      <c r="C47"/>
    </row>
    <row r="48" spans="1:9" x14ac:dyDescent="0.2">
      <c r="A48"/>
      <c r="B48"/>
      <c r="C48"/>
    </row>
    <row r="49" spans="1:9" x14ac:dyDescent="0.2">
      <c r="A49"/>
      <c r="B49"/>
      <c r="C49"/>
    </row>
    <row r="50" spans="1:9" x14ac:dyDescent="0.2">
      <c r="A50" s="17"/>
      <c r="B50" s="17"/>
      <c r="C50"/>
    </row>
    <row r="51" spans="1:9" x14ac:dyDescent="0.2">
      <c r="A51" s="17"/>
      <c r="B51" s="17"/>
      <c r="C51" s="17"/>
    </row>
    <row r="52" spans="1:9" ht="15.75" x14ac:dyDescent="0.25">
      <c r="A52" s="17"/>
      <c r="B52" s="17"/>
      <c r="C52" s="17"/>
      <c r="I52" s="2"/>
    </row>
    <row r="53" spans="1:9" x14ac:dyDescent="0.2">
      <c r="A53" s="17"/>
      <c r="B53" s="17"/>
      <c r="C53" s="17"/>
    </row>
    <row r="54" spans="1:9" x14ac:dyDescent="0.2">
      <c r="A54" s="17"/>
      <c r="B54" s="17"/>
      <c r="C54" s="17"/>
    </row>
    <row r="55" spans="1:9" x14ac:dyDescent="0.2">
      <c r="A55" s="4"/>
      <c r="C55" s="17"/>
    </row>
    <row r="56" spans="1:9" x14ac:dyDescent="0.2">
      <c r="A56" s="4"/>
    </row>
    <row r="57" spans="1:9" x14ac:dyDescent="0.2">
      <c r="A57" s="4"/>
    </row>
    <row r="58" spans="1:9" x14ac:dyDescent="0.2">
      <c r="A58" s="23"/>
    </row>
    <row r="59" spans="1:9" x14ac:dyDescent="0.2">
      <c r="A59" s="23"/>
    </row>
    <row r="60" spans="1:9" x14ac:dyDescent="0.2">
      <c r="A60" s="23"/>
    </row>
    <row r="61" spans="1:9" x14ac:dyDescent="0.2">
      <c r="A61" s="23"/>
    </row>
    <row r="62" spans="1:9" x14ac:dyDescent="0.2">
      <c r="A62" s="23"/>
    </row>
    <row r="63" spans="1:9" x14ac:dyDescent="0.2">
      <c r="A63" s="23"/>
    </row>
    <row r="64" spans="1:9" x14ac:dyDescent="0.2">
      <c r="A64" s="23"/>
    </row>
    <row r="65" spans="1:1" x14ac:dyDescent="0.2">
      <c r="A65" s="23"/>
    </row>
    <row r="66" spans="1:1" x14ac:dyDescent="0.2">
      <c r="A66" s="23"/>
    </row>
    <row r="67" spans="1:1" x14ac:dyDescent="0.2">
      <c r="A67" s="23"/>
    </row>
    <row r="68" spans="1:1" x14ac:dyDescent="0.2">
      <c r="A68" s="23"/>
    </row>
    <row r="69" spans="1:1" x14ac:dyDescent="0.2">
      <c r="A69" s="23"/>
    </row>
    <row r="70" spans="1:1" x14ac:dyDescent="0.2">
      <c r="A70" s="23"/>
    </row>
    <row r="71" spans="1:1" x14ac:dyDescent="0.2">
      <c r="A71" s="23"/>
    </row>
    <row r="72" spans="1:1" x14ac:dyDescent="0.2">
      <c r="A72" s="23"/>
    </row>
    <row r="73" spans="1:1" x14ac:dyDescent="0.2">
      <c r="A73" s="23"/>
    </row>
    <row r="74" spans="1:1" x14ac:dyDescent="0.2">
      <c r="A74" s="23"/>
    </row>
    <row r="75" spans="1:1" x14ac:dyDescent="0.2">
      <c r="A75" s="23"/>
    </row>
    <row r="76" spans="1:1" x14ac:dyDescent="0.2">
      <c r="A76" s="23"/>
    </row>
    <row r="77" spans="1:1" x14ac:dyDescent="0.2">
      <c r="A77" s="23"/>
    </row>
    <row r="78" spans="1:1" x14ac:dyDescent="0.2">
      <c r="A78" s="23"/>
    </row>
    <row r="79" spans="1:1" x14ac:dyDescent="0.2">
      <c r="A79" s="23"/>
    </row>
    <row r="80" spans="1:1" x14ac:dyDescent="0.2">
      <c r="A80" s="23"/>
    </row>
    <row r="81" spans="1:1" x14ac:dyDescent="0.2">
      <c r="A81" s="23"/>
    </row>
    <row r="82" spans="1:1" x14ac:dyDescent="0.2">
      <c r="A82" s="23"/>
    </row>
    <row r="83" spans="1:1" x14ac:dyDescent="0.2">
      <c r="A83" s="23"/>
    </row>
    <row r="84" spans="1:1" x14ac:dyDescent="0.2">
      <c r="A84" s="23"/>
    </row>
    <row r="85" spans="1:1" x14ac:dyDescent="0.2">
      <c r="A85" s="23"/>
    </row>
    <row r="86" spans="1:1" x14ac:dyDescent="0.2">
      <c r="A86" s="23"/>
    </row>
    <row r="87" spans="1:1" x14ac:dyDescent="0.2">
      <c r="A87" s="23"/>
    </row>
    <row r="88" spans="1:1" x14ac:dyDescent="0.2">
      <c r="A88" s="23"/>
    </row>
    <row r="89" spans="1:1" x14ac:dyDescent="0.2">
      <c r="A89" s="23"/>
    </row>
    <row r="90" spans="1:1" x14ac:dyDescent="0.2">
      <c r="A90" s="23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</sheetData>
  <mergeCells count="1">
    <mergeCell ref="C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0">
    <pageSetUpPr fitToPage="1"/>
  </sheetPr>
  <dimension ref="A1:I76"/>
  <sheetViews>
    <sheetView workbookViewId="0">
      <selection sqref="A1:G35"/>
    </sheetView>
  </sheetViews>
  <sheetFormatPr defaultRowHeight="12.75" x14ac:dyDescent="0.2"/>
  <cols>
    <col min="1" max="1" width="17.42578125" style="264" customWidth="1"/>
    <col min="2" max="2" width="28.7109375" customWidth="1"/>
    <col min="3" max="3" width="17.140625" customWidth="1"/>
    <col min="4" max="4" width="18.140625" customWidth="1"/>
    <col min="5" max="5" width="16" customWidth="1"/>
    <col min="6" max="6" width="15.42578125" customWidth="1"/>
    <col min="7" max="7" width="15.140625" customWidth="1"/>
    <col min="9" max="9" width="10.5703125" bestFit="1" customWidth="1"/>
  </cols>
  <sheetData>
    <row r="1" spans="1:7" ht="30.75" customHeight="1" thickBot="1" x14ac:dyDescent="0.3">
      <c r="A1" s="2054" t="s">
        <v>582</v>
      </c>
      <c r="B1" s="2055"/>
      <c r="C1" s="2055"/>
      <c r="D1" s="2055"/>
      <c r="E1" s="2055"/>
      <c r="F1" s="2055"/>
      <c r="G1" s="2056"/>
    </row>
    <row r="2" spans="1:7" ht="0.75" customHeight="1" x14ac:dyDescent="0.25">
      <c r="A2" s="262"/>
      <c r="B2" s="29"/>
      <c r="G2" s="57"/>
    </row>
    <row r="3" spans="1:7" ht="0.75" customHeight="1" x14ac:dyDescent="0.2">
      <c r="A3" s="263"/>
      <c r="G3" s="57"/>
    </row>
    <row r="4" spans="1:7" ht="0.75" customHeight="1" x14ac:dyDescent="0.2">
      <c r="A4" s="263"/>
      <c r="G4" s="57"/>
    </row>
    <row r="5" spans="1:7" ht="27.75" customHeight="1" x14ac:dyDescent="0.2">
      <c r="A5" s="266" t="s">
        <v>224</v>
      </c>
      <c r="B5" s="864" t="s">
        <v>220</v>
      </c>
      <c r="C5" s="71" t="s">
        <v>57</v>
      </c>
      <c r="D5" s="71" t="s">
        <v>90</v>
      </c>
      <c r="E5" s="71" t="s">
        <v>91</v>
      </c>
      <c r="F5" s="71" t="s">
        <v>370</v>
      </c>
      <c r="G5" s="111" t="s">
        <v>53</v>
      </c>
    </row>
    <row r="6" spans="1:7" s="654" customFormat="1" ht="15" customHeight="1" x14ac:dyDescent="0.2">
      <c r="A6" s="923" t="s">
        <v>235</v>
      </c>
      <c r="B6" s="889" t="s">
        <v>236</v>
      </c>
      <c r="C6" s="890"/>
      <c r="D6" s="890"/>
      <c r="E6" s="890"/>
      <c r="F6" s="890"/>
      <c r="G6" s="894"/>
    </row>
    <row r="7" spans="1:7" s="654" customFormat="1" ht="15" customHeight="1" x14ac:dyDescent="0.2">
      <c r="A7" s="1237"/>
      <c r="B7" s="1420" t="s">
        <v>349</v>
      </c>
      <c r="C7" s="1342"/>
      <c r="D7" s="1342"/>
      <c r="E7" s="1342"/>
      <c r="F7" s="1342"/>
      <c r="G7" s="1392">
        <f t="shared" ref="G7:G17" si="0">SUM(C7:F7)</f>
        <v>0</v>
      </c>
    </row>
    <row r="8" spans="1:7" s="654" customFormat="1" ht="15" customHeight="1" thickBot="1" x14ac:dyDescent="0.25">
      <c r="A8" s="675"/>
      <c r="B8" s="1770" t="s">
        <v>350</v>
      </c>
      <c r="C8" s="892"/>
      <c r="D8" s="892"/>
      <c r="E8" s="892"/>
      <c r="F8" s="892"/>
      <c r="G8" s="1768">
        <f t="shared" si="0"/>
        <v>0</v>
      </c>
    </row>
    <row r="9" spans="1:7" s="654" customFormat="1" ht="15" customHeight="1" x14ac:dyDescent="0.2">
      <c r="A9" s="673" t="s">
        <v>237</v>
      </c>
      <c r="B9" s="889" t="s">
        <v>238</v>
      </c>
      <c r="C9" s="890"/>
      <c r="D9" s="890"/>
      <c r="E9" s="890"/>
      <c r="F9" s="890"/>
      <c r="G9" s="899"/>
    </row>
    <row r="10" spans="1:7" s="654" customFormat="1" ht="15" customHeight="1" x14ac:dyDescent="0.2">
      <c r="A10" s="1237"/>
      <c r="B10" s="1420" t="s">
        <v>349</v>
      </c>
      <c r="C10" s="1342">
        <v>6070000</v>
      </c>
      <c r="D10" s="1342">
        <v>533000</v>
      </c>
      <c r="E10" s="1342">
        <v>26000</v>
      </c>
      <c r="F10" s="1342"/>
      <c r="G10" s="1392">
        <f t="shared" si="0"/>
        <v>6629000</v>
      </c>
    </row>
    <row r="11" spans="1:7" s="654" customFormat="1" ht="15" customHeight="1" thickBot="1" x14ac:dyDescent="0.25">
      <c r="A11" s="1502"/>
      <c r="B11" s="1771" t="s">
        <v>350</v>
      </c>
      <c r="C11" s="1772">
        <f>SUM(C10)</f>
        <v>6070000</v>
      </c>
      <c r="D11" s="1772">
        <f>SUM(D10)</f>
        <v>533000</v>
      </c>
      <c r="E11" s="892">
        <v>26000</v>
      </c>
      <c r="F11" s="1772"/>
      <c r="G11" s="1773">
        <f t="shared" si="0"/>
        <v>6629000</v>
      </c>
    </row>
    <row r="12" spans="1:7" s="654" customFormat="1" ht="15" customHeight="1" x14ac:dyDescent="0.2">
      <c r="A12" s="673" t="s">
        <v>239</v>
      </c>
      <c r="B12" s="889" t="s">
        <v>240</v>
      </c>
      <c r="C12" s="890"/>
      <c r="D12" s="890"/>
      <c r="E12" s="890"/>
      <c r="F12" s="890"/>
      <c r="G12" s="899"/>
    </row>
    <row r="13" spans="1:7" s="654" customFormat="1" ht="15" customHeight="1" x14ac:dyDescent="0.2">
      <c r="A13" s="1237"/>
      <c r="B13" s="1420" t="s">
        <v>349</v>
      </c>
      <c r="C13" s="1342"/>
      <c r="D13" s="1342"/>
      <c r="E13" s="1342">
        <v>1524000</v>
      </c>
      <c r="F13" s="1342">
        <f>'16.a.sz. melléklet'!H11</f>
        <v>250000</v>
      </c>
      <c r="G13" s="1392">
        <f t="shared" si="0"/>
        <v>1774000</v>
      </c>
    </row>
    <row r="14" spans="1:7" s="654" customFormat="1" ht="15" customHeight="1" thickBot="1" x14ac:dyDescent="0.25">
      <c r="A14" s="1502"/>
      <c r="B14" s="1771" t="s">
        <v>350</v>
      </c>
      <c r="C14" s="1772"/>
      <c r="D14" s="1772"/>
      <c r="E14" s="1772">
        <f>SUM(E13)</f>
        <v>1524000</v>
      </c>
      <c r="F14" s="892">
        <v>250000</v>
      </c>
      <c r="G14" s="1773">
        <f t="shared" si="0"/>
        <v>1774000</v>
      </c>
    </row>
    <row r="15" spans="1:7" s="654" customFormat="1" ht="15" customHeight="1" x14ac:dyDescent="0.2">
      <c r="A15" s="681" t="s">
        <v>241</v>
      </c>
      <c r="B15" s="1410" t="s">
        <v>55</v>
      </c>
      <c r="C15" s="868"/>
      <c r="D15" s="868"/>
      <c r="E15" s="868"/>
      <c r="F15" s="868"/>
      <c r="G15" s="899"/>
    </row>
    <row r="16" spans="1:7" s="654" customFormat="1" ht="15" customHeight="1" x14ac:dyDescent="0.2">
      <c r="A16" s="898"/>
      <c r="B16" s="1411" t="s">
        <v>349</v>
      </c>
      <c r="C16" s="876">
        <v>45556000</v>
      </c>
      <c r="D16" s="876">
        <v>8701000</v>
      </c>
      <c r="E16" s="876">
        <v>13574000</v>
      </c>
      <c r="F16" s="876">
        <f>'16.a.sz. melléklet'!H6+'16.a.sz. melléklet'!H9+'16.a.sz. melléklet'!H10</f>
        <v>2670000</v>
      </c>
      <c r="G16" s="1392">
        <f t="shared" si="0"/>
        <v>70501000</v>
      </c>
    </row>
    <row r="17" spans="1:9" s="654" customFormat="1" ht="15" customHeight="1" thickBot="1" x14ac:dyDescent="0.25">
      <c r="A17" s="1393"/>
      <c r="B17" s="1412" t="s">
        <v>350</v>
      </c>
      <c r="C17" s="877">
        <f>SUM(C16)+3164400</f>
        <v>48720400</v>
      </c>
      <c r="D17" s="877">
        <f>SUM(D16)+554000</f>
        <v>9255000</v>
      </c>
      <c r="E17" s="877">
        <f>SUM(E16)</f>
        <v>13574000</v>
      </c>
      <c r="F17" s="877">
        <f>SUM(F16)</f>
        <v>2670000</v>
      </c>
      <c r="G17" s="899">
        <f t="shared" si="0"/>
        <v>74219400</v>
      </c>
    </row>
    <row r="18" spans="1:9" s="654" customFormat="1" ht="15" customHeight="1" x14ac:dyDescent="0.2">
      <c r="A18" s="2127" t="s">
        <v>92</v>
      </c>
      <c r="B18" s="2128"/>
      <c r="C18" s="915"/>
      <c r="D18" s="915"/>
      <c r="E18" s="915"/>
      <c r="F18" s="915"/>
      <c r="G18" s="891"/>
      <c r="I18" s="1313"/>
    </row>
    <row r="19" spans="1:9" s="654" customFormat="1" ht="15" customHeight="1" x14ac:dyDescent="0.2">
      <c r="A19" s="917"/>
      <c r="B19" s="1414" t="s">
        <v>349</v>
      </c>
      <c r="C19" s="1946">
        <f t="shared" ref="C19:G20" si="1">C7+C10+C13+C16</f>
        <v>51626000</v>
      </c>
      <c r="D19" s="1946">
        <f t="shared" si="1"/>
        <v>9234000</v>
      </c>
      <c r="E19" s="1946">
        <f t="shared" si="1"/>
        <v>15124000</v>
      </c>
      <c r="F19" s="1946">
        <f t="shared" si="1"/>
        <v>2920000</v>
      </c>
      <c r="G19" s="1954">
        <f t="shared" si="1"/>
        <v>78904000</v>
      </c>
      <c r="I19" s="1313"/>
    </row>
    <row r="20" spans="1:9" s="654" customFormat="1" ht="15" customHeight="1" x14ac:dyDescent="0.2">
      <c r="A20" s="919"/>
      <c r="B20" s="1415" t="s">
        <v>350</v>
      </c>
      <c r="C20" s="1950">
        <f t="shared" si="1"/>
        <v>54790400</v>
      </c>
      <c r="D20" s="1950">
        <f t="shared" si="1"/>
        <v>9788000</v>
      </c>
      <c r="E20" s="1950">
        <f t="shared" si="1"/>
        <v>15124000</v>
      </c>
      <c r="F20" s="1950">
        <f t="shared" si="1"/>
        <v>2920000</v>
      </c>
      <c r="G20" s="1951">
        <f t="shared" si="1"/>
        <v>82622400</v>
      </c>
      <c r="I20" s="1313"/>
    </row>
    <row r="21" spans="1:9" s="654" customFormat="1" ht="15" customHeight="1" thickBot="1" x14ac:dyDescent="0.25">
      <c r="A21" s="658"/>
      <c r="B21" s="659"/>
      <c r="G21" s="862"/>
    </row>
    <row r="22" spans="1:9" s="654" customFormat="1" ht="31.5" x14ac:dyDescent="0.2">
      <c r="A22" s="1388" t="s">
        <v>224</v>
      </c>
      <c r="B22" s="864" t="s">
        <v>220</v>
      </c>
      <c r="C22" s="1292" t="s">
        <v>93</v>
      </c>
      <c r="D22" s="1292" t="s">
        <v>415</v>
      </c>
      <c r="E22" s="1292" t="s">
        <v>295</v>
      </c>
      <c r="F22" s="1292"/>
      <c r="G22" s="1294"/>
    </row>
    <row r="23" spans="1:9" s="654" customFormat="1" ht="15" customHeight="1" x14ac:dyDescent="0.2">
      <c r="A23" s="923" t="s">
        <v>235</v>
      </c>
      <c r="B23" s="1432" t="s">
        <v>236</v>
      </c>
      <c r="C23" s="1342"/>
      <c r="D23" s="1342"/>
      <c r="E23" s="1342"/>
      <c r="F23" s="1342"/>
      <c r="G23" s="929"/>
    </row>
    <row r="24" spans="1:9" s="654" customFormat="1" ht="15" customHeight="1" x14ac:dyDescent="0.2">
      <c r="A24" s="1237"/>
      <c r="B24" s="1420" t="s">
        <v>349</v>
      </c>
      <c r="C24" s="1342"/>
      <c r="D24" s="1342"/>
      <c r="E24" s="1342"/>
      <c r="F24" s="1342"/>
      <c r="G24" s="929">
        <f t="shared" ref="G24:G28" si="2">SUM(C24:F24)</f>
        <v>0</v>
      </c>
    </row>
    <row r="25" spans="1:9" s="654" customFormat="1" ht="15" customHeight="1" thickBot="1" x14ac:dyDescent="0.25">
      <c r="A25" s="675"/>
      <c r="B25" s="1770" t="s">
        <v>350</v>
      </c>
      <c r="C25" s="892">
        <f>SUM(C24)</f>
        <v>0</v>
      </c>
      <c r="D25" s="892"/>
      <c r="E25" s="892"/>
      <c r="F25" s="892"/>
      <c r="G25" s="893">
        <f t="shared" si="2"/>
        <v>0</v>
      </c>
    </row>
    <row r="26" spans="1:9" s="654" customFormat="1" ht="15" customHeight="1" x14ac:dyDescent="0.2">
      <c r="A26" s="673" t="s">
        <v>278</v>
      </c>
      <c r="B26" s="889" t="s">
        <v>280</v>
      </c>
      <c r="C26" s="890"/>
      <c r="D26" s="890"/>
      <c r="E26" s="890"/>
      <c r="F26" s="890"/>
      <c r="G26" s="894"/>
    </row>
    <row r="27" spans="1:9" s="654" customFormat="1" ht="15" customHeight="1" x14ac:dyDescent="0.2">
      <c r="A27" s="1237"/>
      <c r="B27" s="1420" t="s">
        <v>349</v>
      </c>
      <c r="C27" s="1342"/>
      <c r="D27" s="1342">
        <f>G19-C24-C33-E33-F33</f>
        <v>78423000</v>
      </c>
      <c r="E27" s="1342"/>
      <c r="F27" s="1342"/>
      <c r="G27" s="929">
        <f t="shared" si="2"/>
        <v>78423000</v>
      </c>
    </row>
    <row r="28" spans="1:9" s="654" customFormat="1" ht="15" customHeight="1" thickBot="1" x14ac:dyDescent="0.25">
      <c r="A28" s="1774"/>
      <c r="B28" s="1419" t="s">
        <v>350</v>
      </c>
      <c r="C28" s="892"/>
      <c r="D28" s="892">
        <f>G20-C25-C31</f>
        <v>82141400</v>
      </c>
      <c r="E28" s="892"/>
      <c r="F28" s="892"/>
      <c r="G28" s="893">
        <f t="shared" si="2"/>
        <v>82141400</v>
      </c>
    </row>
    <row r="29" spans="1:9" s="654" customFormat="1" ht="15" customHeight="1" x14ac:dyDescent="0.2">
      <c r="A29" s="681" t="s">
        <v>241</v>
      </c>
      <c r="B29" s="1410" t="s">
        <v>55</v>
      </c>
      <c r="C29" s="868"/>
      <c r="D29" s="868"/>
      <c r="E29" s="868"/>
      <c r="F29" s="868"/>
      <c r="G29" s="894"/>
    </row>
    <row r="30" spans="1:9" s="654" customFormat="1" ht="15" customHeight="1" x14ac:dyDescent="0.2">
      <c r="A30" s="898"/>
      <c r="B30" s="1411" t="s">
        <v>349</v>
      </c>
      <c r="C30" s="877">
        <v>481000</v>
      </c>
      <c r="D30" s="876"/>
      <c r="E30" s="876"/>
      <c r="F30" s="876"/>
      <c r="G30" s="894">
        <f t="shared" ref="G30:G31" si="3">SUM(C30:F30)</f>
        <v>481000</v>
      </c>
    </row>
    <row r="31" spans="1:9" s="654" customFormat="1" ht="15" customHeight="1" thickBot="1" x14ac:dyDescent="0.25">
      <c r="A31" s="1393"/>
      <c r="B31" s="1412" t="s">
        <v>350</v>
      </c>
      <c r="C31" s="876">
        <v>481000</v>
      </c>
      <c r="D31" s="877"/>
      <c r="E31" s="877"/>
      <c r="F31" s="877"/>
      <c r="G31" s="899">
        <f t="shared" si="3"/>
        <v>481000</v>
      </c>
    </row>
    <row r="32" spans="1:9" s="654" customFormat="1" ht="15" customHeight="1" x14ac:dyDescent="0.2">
      <c r="A32" s="2137" t="s">
        <v>94</v>
      </c>
      <c r="B32" s="2138"/>
      <c r="C32" s="1942"/>
      <c r="D32" s="1942"/>
      <c r="E32" s="1942"/>
      <c r="F32" s="1942"/>
      <c r="G32" s="1943"/>
      <c r="I32" s="1313"/>
    </row>
    <row r="33" spans="1:9" s="654" customFormat="1" ht="15" customHeight="1" x14ac:dyDescent="0.2">
      <c r="A33" s="1944"/>
      <c r="B33" s="1945" t="s">
        <v>349</v>
      </c>
      <c r="C33" s="1946">
        <f>SUM(C30+C27+C24)</f>
        <v>481000</v>
      </c>
      <c r="D33" s="1946">
        <f t="shared" ref="D33:F34" si="4">D24+D27</f>
        <v>78423000</v>
      </c>
      <c r="E33" s="1946">
        <f t="shared" si="4"/>
        <v>0</v>
      </c>
      <c r="F33" s="1946">
        <f t="shared" si="4"/>
        <v>0</v>
      </c>
      <c r="G33" s="1947">
        <f>G24+G27+G30</f>
        <v>78904000</v>
      </c>
      <c r="I33" s="1313"/>
    </row>
    <row r="34" spans="1:9" s="654" customFormat="1" ht="15" customHeight="1" x14ac:dyDescent="0.2">
      <c r="A34" s="1948"/>
      <c r="B34" s="1949" t="s">
        <v>350</v>
      </c>
      <c r="C34" s="1950">
        <f>C31</f>
        <v>481000</v>
      </c>
      <c r="D34" s="1950">
        <f t="shared" si="4"/>
        <v>82141400</v>
      </c>
      <c r="E34" s="1950">
        <f t="shared" si="4"/>
        <v>0</v>
      </c>
      <c r="F34" s="1950">
        <f t="shared" si="4"/>
        <v>0</v>
      </c>
      <c r="G34" s="1951">
        <f>G25+G28+G31</f>
        <v>82622400</v>
      </c>
      <c r="I34" s="1313"/>
    </row>
    <row r="35" spans="1:9" s="654" customFormat="1" ht="15" customHeight="1" x14ac:dyDescent="0.2">
      <c r="A35" s="710"/>
      <c r="B35" s="1352"/>
      <c r="C35" s="1353"/>
      <c r="D35" s="1353"/>
      <c r="E35" s="1353"/>
      <c r="F35" s="1353"/>
      <c r="G35" s="1417"/>
      <c r="I35" s="1313"/>
    </row>
    <row r="36" spans="1:9" s="654" customFormat="1" ht="15" customHeight="1" thickBot="1" x14ac:dyDescent="0.25">
      <c r="A36" s="707"/>
    </row>
    <row r="37" spans="1:9" s="654" customFormat="1" ht="15" customHeight="1" thickBot="1" x14ac:dyDescent="0.3">
      <c r="A37" s="2120" t="s">
        <v>583</v>
      </c>
      <c r="B37" s="2121"/>
      <c r="C37" s="2121"/>
      <c r="D37" s="2121"/>
      <c r="E37" s="2121"/>
      <c r="F37" s="2121"/>
      <c r="G37" s="2122"/>
    </row>
    <row r="38" spans="1:9" s="654" customFormat="1" ht="31.5" x14ac:dyDescent="0.2">
      <c r="A38" s="863" t="s">
        <v>224</v>
      </c>
      <c r="B38" s="864" t="s">
        <v>220</v>
      </c>
      <c r="C38" s="865" t="s">
        <v>57</v>
      </c>
      <c r="D38" s="865" t="s">
        <v>90</v>
      </c>
      <c r="E38" s="865" t="s">
        <v>91</v>
      </c>
      <c r="F38" s="865" t="s">
        <v>370</v>
      </c>
      <c r="G38" s="866" t="s">
        <v>53</v>
      </c>
    </row>
    <row r="39" spans="1:9" s="654" customFormat="1" ht="15" customHeight="1" x14ac:dyDescent="0.2">
      <c r="A39" s="2130" t="s">
        <v>174</v>
      </c>
      <c r="B39" s="2131"/>
      <c r="C39" s="1381"/>
      <c r="D39" s="1381"/>
      <c r="E39" s="1381"/>
      <c r="F39" s="1381"/>
      <c r="G39" s="1418"/>
    </row>
    <row r="40" spans="1:9" s="654" customFormat="1" ht="15" customHeight="1" x14ac:dyDescent="0.2">
      <c r="A40" s="923" t="s">
        <v>239</v>
      </c>
      <c r="B40" s="924" t="s">
        <v>240</v>
      </c>
      <c r="C40" s="1342"/>
      <c r="D40" s="1342"/>
      <c r="E40" s="1342"/>
      <c r="F40" s="1342"/>
      <c r="G40" s="1392">
        <f>SUM(C40:F40)</f>
        <v>0</v>
      </c>
    </row>
    <row r="41" spans="1:9" s="654" customFormat="1" ht="15" customHeight="1" x14ac:dyDescent="0.2">
      <c r="A41" s="1237"/>
      <c r="B41" s="1412" t="s">
        <v>349</v>
      </c>
      <c r="C41" s="1342"/>
      <c r="D41" s="1342"/>
      <c r="E41" s="1342">
        <f>E13</f>
        <v>1524000</v>
      </c>
      <c r="F41" s="1342">
        <f>F13</f>
        <v>250000</v>
      </c>
      <c r="G41" s="1392">
        <f t="shared" ref="G41:G53" si="5">SUM(C41:F41)</f>
        <v>1774000</v>
      </c>
    </row>
    <row r="42" spans="1:9" s="654" customFormat="1" ht="15" customHeight="1" thickBot="1" x14ac:dyDescent="0.25">
      <c r="A42" s="675"/>
      <c r="B42" s="1419" t="s">
        <v>350</v>
      </c>
      <c r="C42" s="892"/>
      <c r="D42" s="892"/>
      <c r="E42" s="892">
        <f>E14</f>
        <v>1524000</v>
      </c>
      <c r="F42" s="892">
        <f>F14</f>
        <v>250000</v>
      </c>
      <c r="G42" s="1768">
        <f t="shared" si="5"/>
        <v>1774000</v>
      </c>
    </row>
    <row r="43" spans="1:9" s="654" customFormat="1" ht="15" customHeight="1" x14ac:dyDescent="0.2">
      <c r="A43" s="681" t="s">
        <v>241</v>
      </c>
      <c r="B43" s="666" t="s">
        <v>55</v>
      </c>
      <c r="C43" s="868"/>
      <c r="D43" s="868"/>
      <c r="E43" s="868"/>
      <c r="F43" s="868"/>
      <c r="G43" s="899"/>
    </row>
    <row r="44" spans="1:9" s="654" customFormat="1" ht="15" customHeight="1" x14ac:dyDescent="0.2">
      <c r="A44" s="875"/>
      <c r="B44" s="1412" t="s">
        <v>349</v>
      </c>
      <c r="C44" s="877">
        <f t="shared" ref="C44:E45" si="6">C16</f>
        <v>45556000</v>
      </c>
      <c r="D44" s="877">
        <f t="shared" si="6"/>
        <v>8701000</v>
      </c>
      <c r="E44" s="877">
        <f t="shared" si="6"/>
        <v>13574000</v>
      </c>
      <c r="F44" s="877">
        <f>SUM(F16)</f>
        <v>2670000</v>
      </c>
      <c r="G44" s="1392">
        <f t="shared" si="5"/>
        <v>70501000</v>
      </c>
    </row>
    <row r="45" spans="1:9" s="654" customFormat="1" ht="15" customHeight="1" thickBot="1" x14ac:dyDescent="0.25">
      <c r="A45" s="1755"/>
      <c r="B45" s="1419" t="s">
        <v>350</v>
      </c>
      <c r="C45" s="1757">
        <f t="shared" si="6"/>
        <v>48720400</v>
      </c>
      <c r="D45" s="1757">
        <f t="shared" si="6"/>
        <v>9255000</v>
      </c>
      <c r="E45" s="1757">
        <f t="shared" si="6"/>
        <v>13574000</v>
      </c>
      <c r="F45" s="1757">
        <f>SUM(F17)</f>
        <v>2670000</v>
      </c>
      <c r="G45" s="1768">
        <f t="shared" si="5"/>
        <v>74219400</v>
      </c>
    </row>
    <row r="46" spans="1:9" s="654" customFormat="1" ht="15" customHeight="1" x14ac:dyDescent="0.2">
      <c r="A46" s="1433"/>
      <c r="B46" s="1434"/>
      <c r="C46" s="1435"/>
      <c r="D46" s="1435"/>
      <c r="E46" s="1435"/>
      <c r="F46" s="1435"/>
      <c r="G46" s="899"/>
    </row>
    <row r="47" spans="1:9" s="654" customFormat="1" ht="15" customHeight="1" x14ac:dyDescent="0.2">
      <c r="A47" s="2135" t="s">
        <v>176</v>
      </c>
      <c r="B47" s="2136"/>
      <c r="C47" s="877"/>
      <c r="D47" s="877"/>
      <c r="E47" s="877"/>
      <c r="F47" s="877"/>
      <c r="G47" s="1392"/>
    </row>
    <row r="48" spans="1:9" s="654" customFormat="1" ht="15" customHeight="1" x14ac:dyDescent="0.2">
      <c r="A48" s="923" t="s">
        <v>235</v>
      </c>
      <c r="B48" s="924" t="s">
        <v>236</v>
      </c>
      <c r="C48" s="1342"/>
      <c r="D48" s="1342"/>
      <c r="E48" s="1342"/>
      <c r="F48" s="1342"/>
      <c r="G48" s="1392"/>
    </row>
    <row r="49" spans="1:7" s="654" customFormat="1" ht="15" customHeight="1" x14ac:dyDescent="0.2">
      <c r="A49" s="1237"/>
      <c r="B49" s="1412" t="s">
        <v>349</v>
      </c>
      <c r="C49" s="1342">
        <f t="shared" ref="C49:E50" si="7">C7</f>
        <v>0</v>
      </c>
      <c r="D49" s="1342">
        <f t="shared" si="7"/>
        <v>0</v>
      </c>
      <c r="E49" s="1342">
        <f t="shared" si="7"/>
        <v>0</v>
      </c>
      <c r="F49" s="1342"/>
      <c r="G49" s="1392">
        <f t="shared" si="5"/>
        <v>0</v>
      </c>
    </row>
    <row r="50" spans="1:7" s="654" customFormat="1" ht="15" customHeight="1" thickBot="1" x14ac:dyDescent="0.25">
      <c r="A50" s="675"/>
      <c r="B50" s="1419" t="s">
        <v>350</v>
      </c>
      <c r="C50" s="892">
        <f t="shared" si="7"/>
        <v>0</v>
      </c>
      <c r="D50" s="892">
        <f t="shared" si="7"/>
        <v>0</v>
      </c>
      <c r="E50" s="892">
        <f t="shared" si="7"/>
        <v>0</v>
      </c>
      <c r="F50" s="892">
        <f>SUM(F8)</f>
        <v>0</v>
      </c>
      <c r="G50" s="1768">
        <f t="shared" si="5"/>
        <v>0</v>
      </c>
    </row>
    <row r="51" spans="1:7" s="654" customFormat="1" ht="15" customHeight="1" x14ac:dyDescent="0.2">
      <c r="A51" s="673" t="s">
        <v>237</v>
      </c>
      <c r="B51" s="1436" t="s">
        <v>238</v>
      </c>
      <c r="C51" s="890"/>
      <c r="D51" s="890"/>
      <c r="E51" s="890"/>
      <c r="F51" s="890"/>
      <c r="G51" s="899"/>
    </row>
    <row r="52" spans="1:7" s="654" customFormat="1" ht="15" customHeight="1" x14ac:dyDescent="0.2">
      <c r="A52" s="1237"/>
      <c r="B52" s="1412" t="s">
        <v>349</v>
      </c>
      <c r="C52" s="1342">
        <f t="shared" ref="C52:E53" si="8">C10</f>
        <v>6070000</v>
      </c>
      <c r="D52" s="1342">
        <f t="shared" si="8"/>
        <v>533000</v>
      </c>
      <c r="E52" s="1342">
        <f t="shared" si="8"/>
        <v>26000</v>
      </c>
      <c r="F52" s="1342"/>
      <c r="G52" s="1392">
        <f t="shared" si="5"/>
        <v>6629000</v>
      </c>
    </row>
    <row r="53" spans="1:7" s="654" customFormat="1" ht="15" customHeight="1" x14ac:dyDescent="0.2">
      <c r="A53" s="1237"/>
      <c r="B53" s="1409" t="s">
        <v>350</v>
      </c>
      <c r="C53" s="890">
        <f t="shared" si="8"/>
        <v>6070000</v>
      </c>
      <c r="D53" s="890">
        <f t="shared" si="8"/>
        <v>533000</v>
      </c>
      <c r="E53" s="890">
        <f t="shared" si="8"/>
        <v>26000</v>
      </c>
      <c r="F53" s="890"/>
      <c r="G53" s="899">
        <f t="shared" si="5"/>
        <v>6629000</v>
      </c>
    </row>
    <row r="54" spans="1:7" s="638" customFormat="1" ht="15" customHeight="1" thickBot="1" x14ac:dyDescent="0.25">
      <c r="A54" s="1421"/>
      <c r="B54" s="1413"/>
      <c r="C54" s="895"/>
      <c r="D54" s="895"/>
      <c r="E54" s="895"/>
      <c r="F54" s="895"/>
      <c r="G54" s="934"/>
    </row>
    <row r="55" spans="1:7" s="654" customFormat="1" ht="15" customHeight="1" thickBot="1" x14ac:dyDescent="0.25">
      <c r="A55" s="2116" t="s">
        <v>92</v>
      </c>
      <c r="B55" s="2132"/>
      <c r="C55" s="1344"/>
      <c r="D55" s="1344"/>
      <c r="E55" s="1344"/>
      <c r="F55" s="1344"/>
      <c r="G55" s="1422"/>
    </row>
    <row r="56" spans="1:7" s="654" customFormat="1" ht="15" customHeight="1" x14ac:dyDescent="0.2">
      <c r="A56" s="1423"/>
      <c r="B56" s="1424" t="s">
        <v>349</v>
      </c>
      <c r="C56" s="1952">
        <f t="shared" ref="C56:G57" si="9">C41+C44+C49+C52</f>
        <v>51626000</v>
      </c>
      <c r="D56" s="1952">
        <f t="shared" si="9"/>
        <v>9234000</v>
      </c>
      <c r="E56" s="1952">
        <f t="shared" si="9"/>
        <v>15124000</v>
      </c>
      <c r="F56" s="1952">
        <f t="shared" si="9"/>
        <v>2920000</v>
      </c>
      <c r="G56" s="1953">
        <f t="shared" si="9"/>
        <v>78904000</v>
      </c>
    </row>
    <row r="57" spans="1:7" s="654" customFormat="1" ht="15" customHeight="1" x14ac:dyDescent="0.2">
      <c r="A57" s="919"/>
      <c r="B57" s="1415" t="s">
        <v>350</v>
      </c>
      <c r="C57" s="1950">
        <f t="shared" si="9"/>
        <v>54790400</v>
      </c>
      <c r="D57" s="1950">
        <f t="shared" si="9"/>
        <v>9788000</v>
      </c>
      <c r="E57" s="1950">
        <f t="shared" si="9"/>
        <v>15124000</v>
      </c>
      <c r="F57" s="1950">
        <f t="shared" si="9"/>
        <v>2920000</v>
      </c>
      <c r="G57" s="1951">
        <f t="shared" si="9"/>
        <v>82622400</v>
      </c>
    </row>
    <row r="58" spans="1:7" s="654" customFormat="1" ht="15" customHeight="1" thickBot="1" x14ac:dyDescent="0.25">
      <c r="A58" s="658"/>
      <c r="B58" s="659"/>
      <c r="G58" s="862"/>
    </row>
    <row r="59" spans="1:7" s="654" customFormat="1" ht="15" customHeight="1" x14ac:dyDescent="0.2">
      <c r="A59" s="1388" t="s">
        <v>224</v>
      </c>
      <c r="B59" s="864" t="s">
        <v>220</v>
      </c>
      <c r="C59" s="1292" t="s">
        <v>93</v>
      </c>
      <c r="D59" s="1292" t="s">
        <v>296</v>
      </c>
      <c r="E59" s="1292"/>
      <c r="F59" s="1292"/>
      <c r="G59" s="1294"/>
    </row>
    <row r="60" spans="1:7" s="654" customFormat="1" ht="15" customHeight="1" x14ac:dyDescent="0.2">
      <c r="A60" s="2135" t="s">
        <v>176</v>
      </c>
      <c r="B60" s="2136"/>
      <c r="C60" s="1296"/>
      <c r="D60" s="1296"/>
      <c r="E60" s="1296"/>
      <c r="F60" s="1296"/>
      <c r="G60" s="1425"/>
    </row>
    <row r="61" spans="1:7" s="654" customFormat="1" ht="15" customHeight="1" x14ac:dyDescent="0.2">
      <c r="A61" s="923" t="s">
        <v>235</v>
      </c>
      <c r="B61" s="924" t="s">
        <v>236</v>
      </c>
      <c r="C61" s="1342"/>
      <c r="D61" s="1342"/>
      <c r="E61" s="1342"/>
      <c r="F61" s="1342"/>
      <c r="G61" s="929"/>
    </row>
    <row r="62" spans="1:7" s="654" customFormat="1" ht="15" customHeight="1" x14ac:dyDescent="0.2">
      <c r="A62" s="1237"/>
      <c r="B62" s="1412" t="s">
        <v>349</v>
      </c>
      <c r="C62" s="1342">
        <f>C24</f>
        <v>0</v>
      </c>
      <c r="D62" s="1342"/>
      <c r="E62" s="1342"/>
      <c r="F62" s="1342"/>
      <c r="G62" s="1428">
        <f t="shared" ref="G62:G67" si="10">SUM(C62:F62)</f>
        <v>0</v>
      </c>
    </row>
    <row r="63" spans="1:7" s="654" customFormat="1" ht="15" customHeight="1" thickBot="1" x14ac:dyDescent="0.25">
      <c r="A63" s="675"/>
      <c r="B63" s="1419" t="s">
        <v>350</v>
      </c>
      <c r="C63" s="892">
        <f>C25</f>
        <v>0</v>
      </c>
      <c r="D63" s="892"/>
      <c r="E63" s="892"/>
      <c r="F63" s="892"/>
      <c r="G63" s="1426">
        <f t="shared" si="10"/>
        <v>0</v>
      </c>
    </row>
    <row r="64" spans="1:7" s="638" customFormat="1" ht="15" customHeight="1" x14ac:dyDescent="0.2">
      <c r="A64" s="2139" t="s">
        <v>174</v>
      </c>
      <c r="B64" s="2140"/>
      <c r="C64" s="1437"/>
      <c r="D64" s="1437"/>
      <c r="E64" s="1437"/>
      <c r="F64" s="1437"/>
      <c r="G64" s="1438"/>
    </row>
    <row r="65" spans="1:7" s="654" customFormat="1" ht="15" customHeight="1" x14ac:dyDescent="0.2">
      <c r="A65" s="923" t="s">
        <v>278</v>
      </c>
      <c r="B65" s="924" t="s">
        <v>280</v>
      </c>
      <c r="C65" s="1342"/>
      <c r="D65" s="1342"/>
      <c r="E65" s="1342"/>
      <c r="F65" s="1342"/>
      <c r="G65" s="1428"/>
    </row>
    <row r="66" spans="1:7" s="654" customFormat="1" ht="15" customHeight="1" x14ac:dyDescent="0.2">
      <c r="A66" s="1237"/>
      <c r="B66" s="1412" t="s">
        <v>349</v>
      </c>
      <c r="C66" s="1342"/>
      <c r="D66" s="1342">
        <f>D27</f>
        <v>78423000</v>
      </c>
      <c r="E66" s="1342"/>
      <c r="F66" s="1342"/>
      <c r="G66" s="1428">
        <f t="shared" si="10"/>
        <v>78423000</v>
      </c>
    </row>
    <row r="67" spans="1:7" s="654" customFormat="1" ht="15" customHeight="1" thickBot="1" x14ac:dyDescent="0.25">
      <c r="A67" s="1774"/>
      <c r="B67" s="1419" t="s">
        <v>350</v>
      </c>
      <c r="C67" s="892"/>
      <c r="D67" s="892">
        <f>D28</f>
        <v>82141400</v>
      </c>
      <c r="E67" s="892"/>
      <c r="F67" s="892"/>
      <c r="G67" s="1426">
        <f t="shared" si="10"/>
        <v>82141400</v>
      </c>
    </row>
    <row r="68" spans="1:7" s="654" customFormat="1" ht="15" customHeight="1" x14ac:dyDescent="0.2">
      <c r="A68" s="681" t="s">
        <v>241</v>
      </c>
      <c r="B68" s="666" t="s">
        <v>55</v>
      </c>
      <c r="C68" s="868"/>
      <c r="D68" s="868"/>
      <c r="E68" s="868"/>
      <c r="F68" s="868"/>
      <c r="G68" s="899"/>
    </row>
    <row r="69" spans="1:7" s="654" customFormat="1" ht="15" customHeight="1" x14ac:dyDescent="0.2">
      <c r="A69" s="875"/>
      <c r="B69" s="1412" t="s">
        <v>349</v>
      </c>
      <c r="C69" s="877">
        <f>SUM(C30)</f>
        <v>481000</v>
      </c>
      <c r="D69" s="877"/>
      <c r="E69" s="877"/>
      <c r="F69" s="877"/>
      <c r="G69" s="1428">
        <f t="shared" ref="G69:G70" si="11">SUM(C69:F69)</f>
        <v>481000</v>
      </c>
    </row>
    <row r="70" spans="1:7" s="654" customFormat="1" ht="15" customHeight="1" thickBot="1" x14ac:dyDescent="0.25">
      <c r="A70" s="1340"/>
      <c r="B70" s="1416" t="s">
        <v>350</v>
      </c>
      <c r="C70" s="868">
        <f>C31</f>
        <v>481000</v>
      </c>
      <c r="D70" s="1757"/>
      <c r="E70" s="868"/>
      <c r="F70" s="868"/>
      <c r="G70" s="1427">
        <f t="shared" si="11"/>
        <v>481000</v>
      </c>
    </row>
    <row r="71" spans="1:7" s="654" customFormat="1" ht="15" customHeight="1" x14ac:dyDescent="0.2">
      <c r="A71" s="2127" t="s">
        <v>94</v>
      </c>
      <c r="B71" s="2128"/>
      <c r="C71" s="915"/>
      <c r="D71" s="1429"/>
      <c r="E71" s="915"/>
      <c r="F71" s="915"/>
      <c r="G71" s="1430"/>
    </row>
    <row r="72" spans="1:7" s="654" customFormat="1" ht="15" customHeight="1" x14ac:dyDescent="0.2">
      <c r="A72" s="1431"/>
      <c r="B72" s="1414" t="s">
        <v>349</v>
      </c>
      <c r="C72" s="1403">
        <f>SUM(C69+C66+C62)</f>
        <v>481000</v>
      </c>
      <c r="D72" s="1403">
        <f t="shared" ref="D72:F73" si="12">D62+D66</f>
        <v>78423000</v>
      </c>
      <c r="E72" s="1403">
        <f t="shared" si="12"/>
        <v>0</v>
      </c>
      <c r="F72" s="1403">
        <f t="shared" si="12"/>
        <v>0</v>
      </c>
      <c r="G72" s="1404">
        <f>G62+G66+G69</f>
        <v>78904000</v>
      </c>
    </row>
    <row r="73" spans="1:7" s="654" customFormat="1" ht="15" customHeight="1" x14ac:dyDescent="0.2">
      <c r="A73" s="939"/>
      <c r="B73" s="1415" t="s">
        <v>350</v>
      </c>
      <c r="C73" s="937">
        <f>C70</f>
        <v>481000</v>
      </c>
      <c r="D73" s="937">
        <f t="shared" si="12"/>
        <v>82141400</v>
      </c>
      <c r="E73" s="937">
        <f t="shared" si="12"/>
        <v>0</v>
      </c>
      <c r="F73" s="937">
        <f t="shared" si="12"/>
        <v>0</v>
      </c>
      <c r="G73" s="938">
        <f>G63+G67+G70</f>
        <v>82622400</v>
      </c>
    </row>
    <row r="74" spans="1:7" s="654" customFormat="1" ht="15" customHeight="1" x14ac:dyDescent="0.2">
      <c r="A74" s="707"/>
      <c r="B74" s="709"/>
      <c r="C74" s="712"/>
      <c r="D74" s="712"/>
      <c r="E74" s="712"/>
      <c r="F74" s="712"/>
    </row>
    <row r="75" spans="1:7" s="654" customFormat="1" ht="15" customHeight="1" x14ac:dyDescent="0.2">
      <c r="A75" s="707"/>
      <c r="B75" s="709"/>
      <c r="C75" s="709"/>
      <c r="D75" s="709"/>
      <c r="E75" s="709"/>
      <c r="F75" s="709"/>
    </row>
    <row r="76" spans="1:7" x14ac:dyDescent="0.2">
      <c r="A76" s="265"/>
      <c r="B76" s="56"/>
      <c r="C76" s="56"/>
      <c r="D76" s="56"/>
      <c r="E76" s="56"/>
      <c r="F76" s="56"/>
    </row>
  </sheetData>
  <mergeCells count="10">
    <mergeCell ref="A71:B71"/>
    <mergeCell ref="A60:B60"/>
    <mergeCell ref="A1:G1"/>
    <mergeCell ref="A37:G37"/>
    <mergeCell ref="A39:B39"/>
    <mergeCell ref="A47:B47"/>
    <mergeCell ref="A18:B18"/>
    <mergeCell ref="A32:B32"/>
    <mergeCell ref="A55:B55"/>
    <mergeCell ref="A64:B64"/>
  </mergeCells>
  <phoneticPr fontId="3" type="noConversion"/>
  <pageMargins left="0.7" right="0.7" top="0.75" bottom="0.75" header="0.3" footer="0.3"/>
  <pageSetup paperSize="9" scale="46" orientation="landscape" r:id="rId1"/>
  <headerFooter alignWithMargins="0">
    <oddHeader>&amp;A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93"/>
  <sheetViews>
    <sheetView topLeftCell="B1" workbookViewId="0">
      <selection activeCell="I16" sqref="I16"/>
    </sheetView>
  </sheetViews>
  <sheetFormatPr defaultRowHeight="12.75" x14ac:dyDescent="0.2"/>
  <cols>
    <col min="1" max="1" width="0.85546875" style="3" hidden="1" customWidth="1"/>
    <col min="2" max="2" width="0.85546875" style="4" customWidth="1"/>
    <col min="3" max="3" width="28.7109375" style="4" customWidth="1"/>
    <col min="4" max="4" width="28.7109375" customWidth="1"/>
    <col min="5" max="5" width="0.140625" customWidth="1"/>
    <col min="6" max="6" width="6.5703125" customWidth="1"/>
    <col min="7" max="7" width="28.7109375" style="1" customWidth="1"/>
    <col min="8" max="8" width="28.7109375" customWidth="1"/>
    <col min="9" max="9" width="16.5703125" customWidth="1"/>
    <col min="10" max="10" width="8.85546875" style="1" customWidth="1"/>
  </cols>
  <sheetData>
    <row r="1" spans="1:10" ht="20.25" thickBot="1" x14ac:dyDescent="0.4">
      <c r="A1" s="26" t="s">
        <v>22</v>
      </c>
      <c r="B1" s="26"/>
      <c r="C1" s="2051" t="s">
        <v>584</v>
      </c>
      <c r="D1" s="2052"/>
      <c r="E1" s="2052"/>
      <c r="F1" s="2052"/>
      <c r="G1" s="2052"/>
      <c r="H1" s="2052"/>
      <c r="I1" s="2053"/>
      <c r="J1" s="84"/>
    </row>
    <row r="2" spans="1:10" ht="20.25" thickBot="1" x14ac:dyDescent="0.4">
      <c r="A2" s="26"/>
      <c r="B2" s="26"/>
      <c r="C2" s="145"/>
      <c r="D2" s="1799"/>
      <c r="E2" s="1799"/>
      <c r="F2" s="1890"/>
      <c r="G2" s="102"/>
      <c r="H2" s="1801"/>
      <c r="I2" s="1886"/>
      <c r="J2" s="84"/>
    </row>
    <row r="3" spans="1:10" ht="16.5" thickBot="1" x14ac:dyDescent="0.3">
      <c r="A3" s="4"/>
      <c r="C3" s="92"/>
      <c r="D3" s="1439" t="s">
        <v>5</v>
      </c>
      <c r="E3" s="1439"/>
      <c r="F3" s="93"/>
      <c r="G3" s="86"/>
      <c r="H3" s="1439" t="s">
        <v>106</v>
      </c>
      <c r="I3" s="1440"/>
      <c r="J3" s="84"/>
    </row>
    <row r="4" spans="1:10" ht="3" customHeight="1" x14ac:dyDescent="0.25">
      <c r="A4" s="4"/>
      <c r="C4" s="96"/>
      <c r="D4" s="97"/>
      <c r="E4" s="97"/>
      <c r="F4" s="98"/>
      <c r="G4" s="1872"/>
      <c r="H4" s="97"/>
      <c r="I4" s="1887"/>
      <c r="J4" s="84"/>
    </row>
    <row r="5" spans="1:10" ht="15" x14ac:dyDescent="0.25">
      <c r="A5" s="4"/>
      <c r="C5" s="100"/>
      <c r="D5" s="316" t="s">
        <v>358</v>
      </c>
      <c r="E5" s="316"/>
      <c r="F5" s="1888"/>
      <c r="G5" s="183"/>
      <c r="H5" s="1892" t="s">
        <v>358</v>
      </c>
      <c r="I5" s="1888" t="s">
        <v>646</v>
      </c>
      <c r="J5" s="84"/>
    </row>
    <row r="6" spans="1:10" ht="15" x14ac:dyDescent="0.25">
      <c r="A6" s="4"/>
      <c r="C6" s="144"/>
      <c r="D6" s="1873"/>
      <c r="E6" s="1873"/>
      <c r="F6" s="317"/>
      <c r="G6" s="1104" t="s">
        <v>604</v>
      </c>
      <c r="H6" s="1876">
        <v>170000</v>
      </c>
      <c r="I6" s="1876">
        <v>170000</v>
      </c>
      <c r="J6" s="84"/>
    </row>
    <row r="7" spans="1:10" ht="1.9" customHeight="1" x14ac:dyDescent="0.25">
      <c r="A7" s="4"/>
      <c r="C7" s="144"/>
      <c r="D7" s="1874"/>
      <c r="E7" s="1874"/>
      <c r="F7" s="318"/>
      <c r="G7" s="1104"/>
      <c r="H7" s="1876"/>
      <c r="I7" s="1876"/>
      <c r="J7" s="84"/>
    </row>
    <row r="8" spans="1:10" s="1093" customFormat="1" ht="1.9" customHeight="1" x14ac:dyDescent="0.25">
      <c r="A8" s="4"/>
      <c r="B8" s="4"/>
      <c r="C8" s="144"/>
      <c r="D8" s="1874"/>
      <c r="E8" s="1874"/>
      <c r="F8" s="318"/>
      <c r="G8" s="1104"/>
      <c r="H8" s="1876"/>
      <c r="I8" s="1876"/>
      <c r="J8" s="84"/>
    </row>
    <row r="9" spans="1:10" ht="15" x14ac:dyDescent="0.25">
      <c r="A9" s="4"/>
      <c r="B9" s="1868"/>
      <c r="C9" s="370"/>
      <c r="D9" s="1874"/>
      <c r="E9" s="1874"/>
      <c r="F9" s="318"/>
      <c r="G9" s="1104" t="s">
        <v>431</v>
      </c>
      <c r="H9" s="1876">
        <v>500000</v>
      </c>
      <c r="I9" s="1876">
        <v>500000</v>
      </c>
      <c r="J9" s="84"/>
    </row>
    <row r="10" spans="1:10" s="1093" customFormat="1" ht="15" x14ac:dyDescent="0.25">
      <c r="A10" s="4"/>
      <c r="B10" s="1868"/>
      <c r="C10" s="370"/>
      <c r="D10" s="1874"/>
      <c r="E10" s="1874"/>
      <c r="F10" s="318"/>
      <c r="G10" s="1104" t="s">
        <v>623</v>
      </c>
      <c r="H10" s="1876">
        <v>2000000</v>
      </c>
      <c r="I10" s="1876">
        <v>2000000</v>
      </c>
      <c r="J10" s="84"/>
    </row>
    <row r="11" spans="1:10" ht="15.75" thickBot="1" x14ac:dyDescent="0.3">
      <c r="A11" s="4"/>
      <c r="B11" s="1868"/>
      <c r="C11" s="370"/>
      <c r="D11" s="1874"/>
      <c r="E11" s="1874"/>
      <c r="F11" s="318"/>
      <c r="G11" s="1889" t="s">
        <v>605</v>
      </c>
      <c r="H11" s="1893">
        <v>250000</v>
      </c>
      <c r="I11" s="1893">
        <v>250000</v>
      </c>
      <c r="J11" s="84"/>
    </row>
    <row r="12" spans="1:10" ht="16.5" thickBot="1" x14ac:dyDescent="0.3">
      <c r="A12"/>
      <c r="B12" s="272"/>
      <c r="C12" s="94" t="s">
        <v>53</v>
      </c>
      <c r="D12" s="319">
        <f>SUM(D6:D7)</f>
        <v>0</v>
      </c>
      <c r="E12" s="187">
        <f>SUM(E6:E7)</f>
        <v>0</v>
      </c>
      <c r="F12" s="1891"/>
      <c r="G12" s="188"/>
      <c r="H12" s="1881">
        <f>SUM(H6:H11)</f>
        <v>2920000</v>
      </c>
      <c r="I12" s="185">
        <f>SUM(I6:I11)</f>
        <v>2920000</v>
      </c>
      <c r="J12" s="84"/>
    </row>
    <row r="13" spans="1:10" ht="15" customHeight="1" thickBot="1" x14ac:dyDescent="0.3">
      <c r="A13"/>
      <c r="B13"/>
      <c r="C13" s="322" t="s">
        <v>359</v>
      </c>
      <c r="D13" s="227"/>
      <c r="E13" s="188"/>
      <c r="F13" s="189"/>
      <c r="G13" s="323"/>
      <c r="H13" s="1881">
        <f>SUM(H12+D12)</f>
        <v>2920000</v>
      </c>
      <c r="I13" s="185">
        <f>I12</f>
        <v>2920000</v>
      </c>
      <c r="J13" s="84"/>
    </row>
    <row r="14" spans="1:10" ht="0.2" customHeight="1" thickBot="1" x14ac:dyDescent="0.3">
      <c r="A14"/>
      <c r="B14"/>
      <c r="C14" s="188" t="s">
        <v>360</v>
      </c>
      <c r="D14" s="227"/>
      <c r="E14" s="188"/>
      <c r="F14" s="189"/>
      <c r="G14" s="323"/>
      <c r="H14" s="629"/>
      <c r="I14" s="346">
        <f>SUM(I12+E12)</f>
        <v>2920000</v>
      </c>
      <c r="J14" s="84"/>
    </row>
    <row r="15" spans="1:10" s="469" customFormat="1" ht="0.2" customHeight="1" thickBot="1" x14ac:dyDescent="0.3">
      <c r="C15" s="484" t="s">
        <v>416</v>
      </c>
      <c r="D15" s="485"/>
      <c r="E15" s="484"/>
      <c r="F15" s="486"/>
      <c r="G15" s="486"/>
      <c r="H15" s="630"/>
      <c r="I15" s="493"/>
      <c r="J15" s="492"/>
    </row>
    <row r="16" spans="1:10" s="20" customFormat="1" ht="15" customHeight="1" x14ac:dyDescent="0.25">
      <c r="A16" s="19" t="s">
        <v>6</v>
      </c>
      <c r="B16" s="19"/>
      <c r="C16"/>
      <c r="D16"/>
      <c r="E16"/>
      <c r="F16" s="27"/>
      <c r="G16" s="28"/>
      <c r="H16" s="631"/>
      <c r="I16"/>
      <c r="J16" s="21"/>
    </row>
    <row r="17" spans="1:7" ht="15" customHeight="1" x14ac:dyDescent="0.25">
      <c r="A17"/>
      <c r="B17"/>
      <c r="C17" s="19"/>
      <c r="D17" s="20"/>
      <c r="E17" s="20"/>
      <c r="F17" s="6"/>
    </row>
    <row r="18" spans="1:7" ht="15" customHeight="1" x14ac:dyDescent="0.2">
      <c r="C18"/>
      <c r="D18" s="1"/>
      <c r="E18" s="1"/>
      <c r="F18" s="16"/>
      <c r="G18"/>
    </row>
    <row r="19" spans="1:7" ht="15" customHeight="1" x14ac:dyDescent="0.2">
      <c r="A19" s="5"/>
      <c r="B19" s="5"/>
    </row>
    <row r="20" spans="1:7" x14ac:dyDescent="0.2">
      <c r="A20" s="7"/>
      <c r="B20" s="7"/>
      <c r="C20" s="5"/>
    </row>
    <row r="21" spans="1:7" x14ac:dyDescent="0.2">
      <c r="A21" s="7"/>
      <c r="B21" s="7"/>
      <c r="C21" s="7"/>
    </row>
    <row r="22" spans="1:7" x14ac:dyDescent="0.2">
      <c r="A22" s="7"/>
      <c r="B22" s="7"/>
      <c r="C22" s="7"/>
    </row>
    <row r="23" spans="1:7" x14ac:dyDescent="0.2">
      <c r="A23" s="7"/>
      <c r="B23" s="7"/>
      <c r="C23" s="7"/>
    </row>
    <row r="24" spans="1:7" x14ac:dyDescent="0.2">
      <c r="A24" s="7"/>
      <c r="B24" s="7"/>
      <c r="C24" s="7"/>
    </row>
    <row r="25" spans="1:7" x14ac:dyDescent="0.2">
      <c r="A25" s="7"/>
      <c r="B25" s="7"/>
      <c r="C25" s="7"/>
    </row>
    <row r="26" spans="1:7" x14ac:dyDescent="0.2">
      <c r="A26" s="7"/>
      <c r="B26" s="7"/>
      <c r="C26" s="7"/>
    </row>
    <row r="27" spans="1:7" x14ac:dyDescent="0.2">
      <c r="A27" s="7"/>
      <c r="B27" s="7"/>
      <c r="C27" s="7"/>
    </row>
    <row r="28" spans="1:7" x14ac:dyDescent="0.2">
      <c r="A28" s="7"/>
      <c r="B28" s="7"/>
      <c r="C28" s="7"/>
    </row>
    <row r="29" spans="1:7" x14ac:dyDescent="0.2">
      <c r="A29" s="7"/>
      <c r="B29" s="7"/>
      <c r="C29" s="7"/>
    </row>
    <row r="30" spans="1:7" x14ac:dyDescent="0.2">
      <c r="A30" s="7"/>
      <c r="B30" s="7"/>
      <c r="C30" s="7"/>
    </row>
    <row r="31" spans="1:7" x14ac:dyDescent="0.2">
      <c r="A31" s="7"/>
      <c r="B31" s="7"/>
      <c r="C31" s="7"/>
    </row>
    <row r="32" spans="1:7" x14ac:dyDescent="0.2">
      <c r="A32" s="7"/>
      <c r="B32" s="7"/>
      <c r="C32" s="7"/>
    </row>
    <row r="33" spans="1:10" x14ac:dyDescent="0.2">
      <c r="A33" s="7"/>
      <c r="B33" s="7"/>
      <c r="C33" s="7"/>
    </row>
    <row r="34" spans="1:10" x14ac:dyDescent="0.2">
      <c r="A34" s="7"/>
      <c r="B34" s="7"/>
      <c r="C34" s="7"/>
    </row>
    <row r="35" spans="1:10" x14ac:dyDescent="0.2">
      <c r="A35" s="7"/>
      <c r="B35" s="7"/>
      <c r="C35" s="7"/>
    </row>
    <row r="36" spans="1:10" x14ac:dyDescent="0.2">
      <c r="A36" s="7"/>
      <c r="B36" s="7"/>
      <c r="C36" s="7"/>
    </row>
    <row r="37" spans="1:10" x14ac:dyDescent="0.2">
      <c r="A37" s="7"/>
      <c r="B37" s="7"/>
      <c r="C37" s="7"/>
    </row>
    <row r="38" spans="1:10" x14ac:dyDescent="0.2">
      <c r="A38" s="6"/>
      <c r="B38" s="6"/>
      <c r="C38" s="7"/>
    </row>
    <row r="39" spans="1:10" x14ac:dyDescent="0.2">
      <c r="A39" s="1"/>
      <c r="B39" s="1"/>
      <c r="C39" s="6"/>
    </row>
    <row r="40" spans="1:10" x14ac:dyDescent="0.2">
      <c r="A40" s="17"/>
      <c r="B40" s="17"/>
      <c r="C40" s="1"/>
    </row>
    <row r="41" spans="1:10" x14ac:dyDescent="0.2">
      <c r="A41" s="17"/>
      <c r="B41" s="17"/>
      <c r="C41" s="17"/>
    </row>
    <row r="42" spans="1:10" x14ac:dyDescent="0.2">
      <c r="A42" s="17"/>
      <c r="B42" s="17"/>
      <c r="C42" s="17"/>
    </row>
    <row r="43" spans="1:10" s="2" customFormat="1" ht="15.75" x14ac:dyDescent="0.25">
      <c r="A43" s="18"/>
      <c r="B43" s="18"/>
      <c r="C43" s="17"/>
      <c r="D43"/>
      <c r="E43"/>
      <c r="F43"/>
      <c r="G43" s="1"/>
      <c r="H43"/>
      <c r="I43"/>
      <c r="J43" s="1"/>
    </row>
    <row r="44" spans="1:10" ht="15.75" x14ac:dyDescent="0.25">
      <c r="A44" s="17"/>
      <c r="B44" s="17"/>
      <c r="C44" s="18"/>
    </row>
    <row r="45" spans="1:10" x14ac:dyDescent="0.2">
      <c r="A45"/>
      <c r="B45"/>
      <c r="C45" s="17"/>
    </row>
    <row r="46" spans="1:10" x14ac:dyDescent="0.2">
      <c r="A46"/>
      <c r="B46"/>
      <c r="C46"/>
    </row>
    <row r="47" spans="1:10" x14ac:dyDescent="0.2">
      <c r="A47"/>
      <c r="B47"/>
      <c r="C47"/>
    </row>
    <row r="48" spans="1:10" x14ac:dyDescent="0.2">
      <c r="A48"/>
      <c r="B48"/>
      <c r="C48"/>
    </row>
    <row r="49" spans="1:10" x14ac:dyDescent="0.2">
      <c r="A49"/>
      <c r="B49"/>
      <c r="C49"/>
    </row>
    <row r="50" spans="1:10" x14ac:dyDescent="0.2">
      <c r="A50" s="17"/>
      <c r="B50" s="17"/>
      <c r="C50"/>
    </row>
    <row r="51" spans="1:10" x14ac:dyDescent="0.2">
      <c r="A51" s="17"/>
      <c r="B51" s="17"/>
      <c r="C51" s="17"/>
    </row>
    <row r="52" spans="1:10" ht="15.75" x14ac:dyDescent="0.25">
      <c r="A52" s="17"/>
      <c r="B52" s="17"/>
      <c r="C52" s="17"/>
      <c r="J52" s="2"/>
    </row>
    <row r="53" spans="1:10" x14ac:dyDescent="0.2">
      <c r="A53" s="17"/>
      <c r="B53" s="17"/>
      <c r="C53" s="17"/>
    </row>
    <row r="54" spans="1:10" x14ac:dyDescent="0.2">
      <c r="A54" s="17"/>
      <c r="B54" s="17"/>
      <c r="C54" s="17"/>
    </row>
    <row r="55" spans="1:10" x14ac:dyDescent="0.2">
      <c r="A55" s="4"/>
      <c r="C55" s="17"/>
    </row>
    <row r="56" spans="1:10" x14ac:dyDescent="0.2">
      <c r="A56" s="4"/>
    </row>
    <row r="57" spans="1:10" x14ac:dyDescent="0.2">
      <c r="A57" s="4"/>
    </row>
    <row r="58" spans="1:10" x14ac:dyDescent="0.2">
      <c r="A58" s="23"/>
    </row>
    <row r="59" spans="1:10" x14ac:dyDescent="0.2">
      <c r="A59" s="23"/>
    </row>
    <row r="60" spans="1:10" x14ac:dyDescent="0.2">
      <c r="A60" s="23"/>
    </row>
    <row r="61" spans="1:10" x14ac:dyDescent="0.2">
      <c r="A61" s="23"/>
    </row>
    <row r="62" spans="1:10" x14ac:dyDescent="0.2">
      <c r="A62" s="23"/>
    </row>
    <row r="63" spans="1:10" x14ac:dyDescent="0.2">
      <c r="A63" s="23"/>
    </row>
    <row r="64" spans="1:10" x14ac:dyDescent="0.2">
      <c r="A64" s="23"/>
    </row>
    <row r="65" spans="1:1" x14ac:dyDescent="0.2">
      <c r="A65" s="23"/>
    </row>
    <row r="66" spans="1:1" x14ac:dyDescent="0.2">
      <c r="A66" s="23"/>
    </row>
    <row r="67" spans="1:1" x14ac:dyDescent="0.2">
      <c r="A67" s="23"/>
    </row>
    <row r="68" spans="1:1" x14ac:dyDescent="0.2">
      <c r="A68" s="23"/>
    </row>
    <row r="69" spans="1:1" x14ac:dyDescent="0.2">
      <c r="A69" s="23"/>
    </row>
    <row r="70" spans="1:1" x14ac:dyDescent="0.2">
      <c r="A70" s="23"/>
    </row>
    <row r="71" spans="1:1" x14ac:dyDescent="0.2">
      <c r="A71" s="23"/>
    </row>
    <row r="72" spans="1:1" x14ac:dyDescent="0.2">
      <c r="A72" s="23"/>
    </row>
    <row r="73" spans="1:1" x14ac:dyDescent="0.2">
      <c r="A73" s="23"/>
    </row>
    <row r="74" spans="1:1" x14ac:dyDescent="0.2">
      <c r="A74" s="23"/>
    </row>
    <row r="75" spans="1:1" x14ac:dyDescent="0.2">
      <c r="A75" s="23"/>
    </row>
    <row r="76" spans="1:1" x14ac:dyDescent="0.2">
      <c r="A76" s="23"/>
    </row>
    <row r="77" spans="1:1" x14ac:dyDescent="0.2">
      <c r="A77" s="23"/>
    </row>
    <row r="78" spans="1:1" x14ac:dyDescent="0.2">
      <c r="A78" s="23"/>
    </row>
    <row r="79" spans="1:1" x14ac:dyDescent="0.2">
      <c r="A79" s="23"/>
    </row>
    <row r="80" spans="1:1" x14ac:dyDescent="0.2">
      <c r="A80" s="23"/>
    </row>
    <row r="81" spans="1:1" x14ac:dyDescent="0.2">
      <c r="A81" s="23"/>
    </row>
    <row r="82" spans="1:1" x14ac:dyDescent="0.2">
      <c r="A82" s="23"/>
    </row>
    <row r="83" spans="1:1" x14ac:dyDescent="0.2">
      <c r="A83" s="23"/>
    </row>
    <row r="84" spans="1:1" x14ac:dyDescent="0.2">
      <c r="A84" s="23"/>
    </row>
    <row r="85" spans="1:1" x14ac:dyDescent="0.2">
      <c r="A85" s="23"/>
    </row>
    <row r="86" spans="1:1" x14ac:dyDescent="0.2">
      <c r="A86" s="23"/>
    </row>
    <row r="87" spans="1:1" x14ac:dyDescent="0.2">
      <c r="A87" s="23"/>
    </row>
    <row r="88" spans="1:1" x14ac:dyDescent="0.2">
      <c r="A88" s="23"/>
    </row>
    <row r="89" spans="1:1" x14ac:dyDescent="0.2">
      <c r="A89" s="23"/>
    </row>
    <row r="90" spans="1:1" x14ac:dyDescent="0.2">
      <c r="A90" s="23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</sheetData>
  <mergeCells count="1">
    <mergeCell ref="C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2">
    <pageSetUpPr fitToPage="1"/>
  </sheetPr>
  <dimension ref="A1:Q212"/>
  <sheetViews>
    <sheetView workbookViewId="0">
      <selection activeCell="A72" sqref="A72"/>
    </sheetView>
  </sheetViews>
  <sheetFormatPr defaultRowHeight="12.75" x14ac:dyDescent="0.2"/>
  <cols>
    <col min="1" max="1" width="23.28515625" customWidth="1"/>
    <col min="2" max="2" width="12.28515625" customWidth="1"/>
    <col min="3" max="3" width="9.5703125" bestFit="1" customWidth="1"/>
    <col min="4" max="4" width="9.85546875" bestFit="1" customWidth="1"/>
    <col min="5" max="5" width="10.28515625" bestFit="1" customWidth="1"/>
    <col min="6" max="7" width="10.5703125" bestFit="1" customWidth="1"/>
    <col min="8" max="8" width="14" bestFit="1" customWidth="1"/>
    <col min="9" max="10" width="10.5703125" bestFit="1" customWidth="1"/>
    <col min="11" max="11" width="12.42578125" bestFit="1" customWidth="1"/>
    <col min="12" max="12" width="10.5703125" bestFit="1" customWidth="1"/>
    <col min="13" max="13" width="10.85546875" bestFit="1" customWidth="1"/>
    <col min="14" max="14" width="11.28515625" bestFit="1" customWidth="1"/>
    <col min="15" max="15" width="15" bestFit="1" customWidth="1"/>
    <col min="17" max="17" width="12.85546875" bestFit="1" customWidth="1"/>
  </cols>
  <sheetData>
    <row r="1" spans="1:17" ht="3" customHeight="1" thickBot="1" x14ac:dyDescent="0.25"/>
    <row r="2" spans="1:17" ht="29.25" customHeight="1" thickBot="1" x14ac:dyDescent="0.3">
      <c r="A2" s="2037" t="s">
        <v>585</v>
      </c>
      <c r="B2" s="2038"/>
      <c r="C2" s="2038"/>
      <c r="D2" s="2038"/>
      <c r="E2" s="2038"/>
      <c r="F2" s="2038"/>
      <c r="G2" s="2038"/>
      <c r="H2" s="2038"/>
      <c r="I2" s="2038"/>
      <c r="J2" s="2038"/>
      <c r="K2" s="2038"/>
      <c r="L2" s="2038"/>
      <c r="M2" s="2038"/>
      <c r="N2" s="2039"/>
    </row>
    <row r="3" spans="1:17" ht="6" customHeight="1" x14ac:dyDescent="0.2">
      <c r="A3" s="168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169"/>
    </row>
    <row r="4" spans="1:17" ht="13.5" thickBot="1" x14ac:dyDescent="0.25">
      <c r="A4" s="170" t="s">
        <v>134</v>
      </c>
      <c r="B4" s="171"/>
      <c r="C4" s="172"/>
      <c r="D4" s="172"/>
      <c r="E4" s="172"/>
      <c r="F4" s="171"/>
      <c r="G4" s="173"/>
      <c r="H4" s="173"/>
      <c r="I4" s="174"/>
      <c r="J4" s="175"/>
      <c r="K4" s="175"/>
      <c r="L4" s="176"/>
      <c r="M4" s="175"/>
      <c r="N4" s="177"/>
    </row>
    <row r="5" spans="1:17" x14ac:dyDescent="0.2">
      <c r="A5" s="31" t="s">
        <v>32</v>
      </c>
      <c r="B5" s="34" t="s">
        <v>0</v>
      </c>
      <c r="C5" s="32" t="s">
        <v>33</v>
      </c>
      <c r="D5" s="32" t="s">
        <v>34</v>
      </c>
      <c r="E5" s="32" t="s">
        <v>35</v>
      </c>
      <c r="F5" s="32" t="s">
        <v>36</v>
      </c>
      <c r="G5" s="32" t="s">
        <v>37</v>
      </c>
      <c r="H5" s="32" t="s">
        <v>38</v>
      </c>
      <c r="I5" s="32" t="s">
        <v>39</v>
      </c>
      <c r="J5" s="32" t="s">
        <v>47</v>
      </c>
      <c r="K5" s="33" t="s">
        <v>48</v>
      </c>
      <c r="L5" s="32" t="s">
        <v>49</v>
      </c>
      <c r="M5" s="32" t="s">
        <v>50</v>
      </c>
      <c r="N5" s="34" t="s">
        <v>51</v>
      </c>
    </row>
    <row r="6" spans="1:17" ht="13.5" thickBot="1" x14ac:dyDescent="0.25">
      <c r="A6" s="35" t="s">
        <v>40</v>
      </c>
      <c r="B6" s="37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7"/>
    </row>
    <row r="7" spans="1:17" x14ac:dyDescent="0.2">
      <c r="A7" s="38"/>
      <c r="B7" s="40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17" x14ac:dyDescent="0.2">
      <c r="A8" s="41" t="s">
        <v>292</v>
      </c>
      <c r="B8" s="999">
        <f>'1.sz. melléklet'!B6</f>
        <v>90217000</v>
      </c>
      <c r="C8" s="1000">
        <f>$B8/12</f>
        <v>7518083.333333333</v>
      </c>
      <c r="D8" s="1000">
        <f t="shared" ref="D8:N8" si="0">$B8/12</f>
        <v>7518083.333333333</v>
      </c>
      <c r="E8" s="1000">
        <f t="shared" si="0"/>
        <v>7518083.333333333</v>
      </c>
      <c r="F8" s="1000">
        <f t="shared" si="0"/>
        <v>7518083.333333333</v>
      </c>
      <c r="G8" s="1000">
        <f t="shared" si="0"/>
        <v>7518083.333333333</v>
      </c>
      <c r="H8" s="1000">
        <f t="shared" si="0"/>
        <v>7518083.333333333</v>
      </c>
      <c r="I8" s="1000">
        <f t="shared" si="0"/>
        <v>7518083.333333333</v>
      </c>
      <c r="J8" s="1000">
        <f t="shared" si="0"/>
        <v>7518083.333333333</v>
      </c>
      <c r="K8" s="1000">
        <f t="shared" si="0"/>
        <v>7518083.333333333</v>
      </c>
      <c r="L8" s="1000">
        <f t="shared" si="0"/>
        <v>7518083.333333333</v>
      </c>
      <c r="M8" s="1000">
        <f t="shared" si="0"/>
        <v>7518083.333333333</v>
      </c>
      <c r="N8" s="1010">
        <f t="shared" si="0"/>
        <v>7518083.333333333</v>
      </c>
      <c r="O8" s="1074"/>
      <c r="P8" s="195"/>
      <c r="Q8" s="631"/>
    </row>
    <row r="9" spans="1:17" x14ac:dyDescent="0.2">
      <c r="A9" s="41" t="s">
        <v>179</v>
      </c>
      <c r="B9" s="1001">
        <f>'1.sz. melléklet'!B5</f>
        <v>682291000</v>
      </c>
      <c r="C9" s="1002">
        <f>SUM('5.a.sz. melléklet'!D70)/16</f>
        <v>42643187.5</v>
      </c>
      <c r="D9" s="1002">
        <f>SUM('5.a.sz. melléklet'!D70)/16</f>
        <v>42643187.5</v>
      </c>
      <c r="E9" s="1002">
        <f>SUM('5.a.sz. melléklet'!D70)/16+6335750</f>
        <v>48978937.5</v>
      </c>
      <c r="F9" s="1002">
        <f>SUM('5.a.sz. melléklet'!D70)/16</f>
        <v>42643187.5</v>
      </c>
      <c r="G9" s="1002">
        <f>SUM('5.a.sz. melléklet'!D70)/16</f>
        <v>42643187.5</v>
      </c>
      <c r="H9" s="1002">
        <f>SUM('5.a.sz. melléklet'!D70)/16</f>
        <v>42643187.5</v>
      </c>
      <c r="I9" s="1002">
        <f>SUM('5.a.sz. melléklet'!D70)/16</f>
        <v>42643187.5</v>
      </c>
      <c r="J9" s="1002">
        <f>SUM('5.a.sz. melléklet'!D70)/16</f>
        <v>42643187.5</v>
      </c>
      <c r="K9" s="1002">
        <f>SUM('5.a.sz. melléklet'!D70)/16+63345750</f>
        <v>105988937.5</v>
      </c>
      <c r="L9" s="1002">
        <f>SUM('5.a.sz. melléklet'!D70)/16</f>
        <v>42643187.5</v>
      </c>
      <c r="M9" s="1002">
        <f>SUM('5.a.sz. melléklet'!D70)/16</f>
        <v>42643187.5</v>
      </c>
      <c r="N9" s="1002">
        <f>SUM('5.a.sz. melléklet'!D70)/16+100891250</f>
        <v>143534437.5</v>
      </c>
      <c r="O9" s="1074"/>
      <c r="P9" s="195"/>
      <c r="Q9" s="631"/>
    </row>
    <row r="10" spans="1:17" x14ac:dyDescent="0.2">
      <c r="A10" s="41" t="s">
        <v>311</v>
      </c>
      <c r="B10" s="1001">
        <f>SUM('2.sz.melléklet'!E105)</f>
        <v>134971058</v>
      </c>
      <c r="C10" s="1002">
        <f>$B10/12</f>
        <v>11247588.166666666</v>
      </c>
      <c r="D10" s="1002">
        <f t="shared" ref="D10:N10" si="1">$B10/12</f>
        <v>11247588.166666666</v>
      </c>
      <c r="E10" s="1002">
        <f>$B10/12</f>
        <v>11247588.166666666</v>
      </c>
      <c r="F10" s="1002">
        <f t="shared" si="1"/>
        <v>11247588.166666666</v>
      </c>
      <c r="G10" s="1002">
        <f t="shared" si="1"/>
        <v>11247588.166666666</v>
      </c>
      <c r="H10" s="1002">
        <f t="shared" si="1"/>
        <v>11247588.166666666</v>
      </c>
      <c r="I10" s="1002">
        <f t="shared" si="1"/>
        <v>11247588.166666666</v>
      </c>
      <c r="J10" s="1002">
        <f t="shared" si="1"/>
        <v>11247588.166666666</v>
      </c>
      <c r="K10" s="1002">
        <f t="shared" si="1"/>
        <v>11247588.166666666</v>
      </c>
      <c r="L10" s="1002">
        <f t="shared" si="1"/>
        <v>11247588.166666666</v>
      </c>
      <c r="M10" s="1002">
        <f>$B10/12</f>
        <v>11247588.166666666</v>
      </c>
      <c r="N10" s="1003">
        <f t="shared" si="1"/>
        <v>11247588.166666666</v>
      </c>
      <c r="O10" s="1074"/>
      <c r="P10" s="195"/>
      <c r="Q10" s="631"/>
    </row>
    <row r="11" spans="1:17" x14ac:dyDescent="0.2">
      <c r="A11" s="41" t="s">
        <v>100</v>
      </c>
      <c r="B11" s="1001">
        <f>'1.sz. melléklet'!B9</f>
        <v>196528000</v>
      </c>
      <c r="C11" s="1002"/>
      <c r="D11" s="1002"/>
      <c r="E11" s="1150">
        <v>1728000</v>
      </c>
      <c r="F11" s="1002"/>
      <c r="G11" s="1002">
        <f>SUM('5. sz.melléklet'!C47)</f>
        <v>4800000</v>
      </c>
      <c r="H11" s="1002"/>
      <c r="I11" s="1002">
        <f>SUM('5. sz.melléklet'!C45)</f>
        <v>180000000</v>
      </c>
      <c r="J11" s="1002">
        <f>SUM('5. sz.melléklet'!C48)</f>
        <v>10000000</v>
      </c>
      <c r="K11" s="1002"/>
      <c r="L11" s="1002"/>
      <c r="M11" s="1002"/>
      <c r="N11" s="1003"/>
      <c r="O11" s="1074"/>
      <c r="P11" s="195"/>
      <c r="Q11" s="631"/>
    </row>
    <row r="12" spans="1:17" x14ac:dyDescent="0.2">
      <c r="A12" s="41" t="s">
        <v>441</v>
      </c>
      <c r="B12" s="1001">
        <f>SUM('1.sz. melléklet'!B10+'1.sz. melléklet'!B11+'1.sz. melléklet'!B8+'1.sz. melléklet'!B7-'5.b.sz. melléklet'!D34)</f>
        <v>219414258.55555558</v>
      </c>
      <c r="C12" s="1002">
        <f>SUM('5. sz.melléklet'!C24/12)+'5. sz.melléklet'!C28/12+'5. sz.melléklet'!C27/2-24447</f>
        <v>2868553</v>
      </c>
      <c r="D12" s="1002">
        <f>SUM('5. sz.melléklet'!C24/12)+'5. sz.melléklet'!C28/12+1080000+'5. sz.melléklet'!C27/2</f>
        <v>3973000</v>
      </c>
      <c r="E12" s="1002">
        <f>SUM('5. sz.melléklet'!C24/12)+'5. sz.melléklet'!C28/12+'5. sz.melléklet'!C26/3</f>
        <v>2093000</v>
      </c>
      <c r="F12" s="1002">
        <f>SUM(C12)+'5. sz.melléklet'!C29</f>
        <v>101753850</v>
      </c>
      <c r="G12" s="1002">
        <f>SUM(D12)</f>
        <v>3973000</v>
      </c>
      <c r="H12" s="1002">
        <f>C12</f>
        <v>2868553</v>
      </c>
      <c r="I12" s="1002">
        <f>SUM(E12)</f>
        <v>2093000</v>
      </c>
      <c r="J12" s="1002">
        <f>SUM(G12)</f>
        <v>3973000</v>
      </c>
      <c r="K12" s="1002">
        <f>SUM(H12)</f>
        <v>2868553</v>
      </c>
      <c r="L12" s="1002">
        <f>SUM(I12)+'5. sz.melléklet'!C35</f>
        <v>3489420.5555555555</v>
      </c>
      <c r="M12" s="1002">
        <f>SUM(K12)+44405560+8000000+14990990+'5. sz.melléklet'!C33</f>
        <v>85265094</v>
      </c>
      <c r="N12" s="1002">
        <f>SUM(G12)+222235</f>
        <v>4195235</v>
      </c>
      <c r="O12" s="1074"/>
      <c r="P12" s="195"/>
      <c r="Q12" s="631"/>
    </row>
    <row r="13" spans="1:17" x14ac:dyDescent="0.2">
      <c r="A13" s="41" t="s">
        <v>4</v>
      </c>
      <c r="B13" s="1001"/>
      <c r="C13" s="1002"/>
      <c r="D13" s="1002"/>
      <c r="E13" s="1002"/>
      <c r="F13" s="1002"/>
      <c r="G13" s="1002"/>
      <c r="H13" s="1002"/>
      <c r="I13" s="1002"/>
      <c r="J13" s="1002"/>
      <c r="K13" s="1002"/>
      <c r="L13" s="1002"/>
      <c r="M13" s="1002"/>
      <c r="N13" s="1003"/>
      <c r="O13" s="1074"/>
      <c r="P13" s="195"/>
      <c r="Q13" s="631"/>
    </row>
    <row r="14" spans="1:17" x14ac:dyDescent="0.2">
      <c r="A14" s="41" t="s">
        <v>443</v>
      </c>
      <c r="B14" s="1001">
        <f>SUM('2.sz.melléklet'!J105)</f>
        <v>379000000</v>
      </c>
      <c r="C14" s="1002">
        <v>379000000</v>
      </c>
      <c r="D14" s="1002"/>
      <c r="E14" s="1002"/>
      <c r="F14" s="1002"/>
      <c r="G14" s="1002"/>
      <c r="H14" s="1002"/>
      <c r="I14" s="1002"/>
      <c r="J14" s="1002"/>
      <c r="K14" s="1002"/>
      <c r="L14" s="1002"/>
      <c r="M14" s="1002"/>
      <c r="N14" s="1003"/>
      <c r="O14" s="1074"/>
      <c r="P14" s="195"/>
      <c r="Q14" s="631"/>
    </row>
    <row r="15" spans="1:17" ht="13.5" thickBot="1" x14ac:dyDescent="0.25">
      <c r="A15" s="42" t="s">
        <v>296</v>
      </c>
      <c r="B15" s="1004">
        <f>SUM('2.sz.melléklet'!K105)</f>
        <v>300000000</v>
      </c>
      <c r="C15" s="1005"/>
      <c r="D15" s="1005">
        <v>20000000</v>
      </c>
      <c r="E15" s="1005">
        <v>20000000</v>
      </c>
      <c r="F15" s="1005">
        <v>20000000</v>
      </c>
      <c r="G15" s="1005">
        <v>100000000</v>
      </c>
      <c r="H15" s="1005">
        <v>140000000</v>
      </c>
      <c r="I15" s="1005"/>
      <c r="J15" s="1005"/>
      <c r="K15" s="1005"/>
      <c r="L15" s="1005"/>
      <c r="M15" s="1005"/>
      <c r="N15" s="1067"/>
      <c r="O15" s="1074"/>
      <c r="P15" s="195"/>
      <c r="Q15" s="631"/>
    </row>
    <row r="16" spans="1:17" ht="13.5" thickBot="1" x14ac:dyDescent="0.25">
      <c r="A16" s="43" t="s">
        <v>19</v>
      </c>
      <c r="B16" s="1006">
        <f>SUM(B8:B15)</f>
        <v>2002421316.5555556</v>
      </c>
      <c r="C16" s="1007">
        <f>SUM(C8:C15)</f>
        <v>443277412</v>
      </c>
      <c r="D16" s="1007">
        <f t="shared" ref="D16:N16" si="2">SUM(D8:D15)</f>
        <v>85381859</v>
      </c>
      <c r="E16" s="1007">
        <f t="shared" si="2"/>
        <v>91565609</v>
      </c>
      <c r="F16" s="1007">
        <f t="shared" si="2"/>
        <v>183162709</v>
      </c>
      <c r="G16" s="1007">
        <f t="shared" si="2"/>
        <v>170181859</v>
      </c>
      <c r="H16" s="1007">
        <f t="shared" si="2"/>
        <v>204277412</v>
      </c>
      <c r="I16" s="1007">
        <f t="shared" si="2"/>
        <v>243501859</v>
      </c>
      <c r="J16" s="1007">
        <f t="shared" si="2"/>
        <v>75381859</v>
      </c>
      <c r="K16" s="1007">
        <f t="shared" si="2"/>
        <v>127623162</v>
      </c>
      <c r="L16" s="1007">
        <f t="shared" si="2"/>
        <v>64898279.555555552</v>
      </c>
      <c r="M16" s="1007">
        <f t="shared" si="2"/>
        <v>146673953</v>
      </c>
      <c r="N16" s="1007">
        <f t="shared" si="2"/>
        <v>166495344</v>
      </c>
      <c r="O16" s="1074"/>
      <c r="P16" s="195"/>
      <c r="Q16" s="631"/>
    </row>
    <row r="17" spans="1:17" x14ac:dyDescent="0.2">
      <c r="A17" s="44"/>
      <c r="B17" s="1008"/>
      <c r="C17" s="1009"/>
      <c r="D17" s="1009"/>
      <c r="E17" s="1009"/>
      <c r="F17" s="1009"/>
      <c r="G17" s="1009"/>
      <c r="H17" s="1009"/>
      <c r="I17" s="1009"/>
      <c r="J17" s="1009"/>
      <c r="K17" s="1009"/>
      <c r="L17" s="1009"/>
      <c r="M17" s="1009"/>
      <c r="N17" s="1008"/>
      <c r="O17" s="1074"/>
      <c r="P17" s="195"/>
      <c r="Q17" s="631"/>
    </row>
    <row r="18" spans="1:17" x14ac:dyDescent="0.2">
      <c r="A18" s="45" t="s">
        <v>41</v>
      </c>
      <c r="B18" s="1010"/>
      <c r="C18" s="1000"/>
      <c r="D18" s="1000"/>
      <c r="E18" s="1000"/>
      <c r="F18" s="1000"/>
      <c r="G18" s="1000"/>
      <c r="H18" s="1000"/>
      <c r="I18" s="1000"/>
      <c r="J18" s="1000"/>
      <c r="K18" s="1000"/>
      <c r="L18" s="1000"/>
      <c r="M18" s="1000"/>
      <c r="N18" s="1010"/>
      <c r="O18" s="1074"/>
      <c r="P18" s="195"/>
      <c r="Q18" s="631"/>
    </row>
    <row r="19" spans="1:17" x14ac:dyDescent="0.2">
      <c r="A19" s="46"/>
      <c r="B19" s="1010"/>
      <c r="C19" s="1000"/>
      <c r="D19" s="1000"/>
      <c r="E19" s="1000"/>
      <c r="F19" s="1000"/>
      <c r="G19" s="1000"/>
      <c r="H19" s="1000"/>
      <c r="I19" s="1000"/>
      <c r="J19" s="1000"/>
      <c r="K19" s="1000"/>
      <c r="L19" s="1000"/>
      <c r="M19" s="1000"/>
      <c r="N19" s="1010"/>
      <c r="O19" s="1074"/>
      <c r="P19" s="195"/>
      <c r="Q19" s="631"/>
    </row>
    <row r="20" spans="1:17" x14ac:dyDescent="0.2">
      <c r="A20" s="41" t="s">
        <v>42</v>
      </c>
      <c r="B20" s="999">
        <f>'6. sz.melléklet'!C104+'6. sz.melléklet'!D104+'6. sz.melléklet'!E104+'6. sz.melléklet'!I104</f>
        <v>422359090</v>
      </c>
      <c r="C20" s="1000">
        <f>$B$20/12</f>
        <v>35196590.833333336</v>
      </c>
      <c r="D20" s="1000">
        <f t="shared" ref="D20:N20" si="3">$B$20/12</f>
        <v>35196590.833333336</v>
      </c>
      <c r="E20" s="1000">
        <f t="shared" si="3"/>
        <v>35196590.833333336</v>
      </c>
      <c r="F20" s="1000">
        <f t="shared" si="3"/>
        <v>35196590.833333336</v>
      </c>
      <c r="G20" s="1000">
        <f t="shared" si="3"/>
        <v>35196590.833333336</v>
      </c>
      <c r="H20" s="1000">
        <f t="shared" si="3"/>
        <v>35196590.833333336</v>
      </c>
      <c r="I20" s="1000">
        <f t="shared" si="3"/>
        <v>35196590.833333336</v>
      </c>
      <c r="J20" s="1000">
        <f t="shared" si="3"/>
        <v>35196590.833333336</v>
      </c>
      <c r="K20" s="1000">
        <f t="shared" si="3"/>
        <v>35196590.833333336</v>
      </c>
      <c r="L20" s="1000">
        <f t="shared" si="3"/>
        <v>35196590.833333336</v>
      </c>
      <c r="M20" s="1000">
        <f t="shared" si="3"/>
        <v>35196590.833333336</v>
      </c>
      <c r="N20" s="1000">
        <f t="shared" si="3"/>
        <v>35196590.833333336</v>
      </c>
      <c r="O20" s="1074"/>
      <c r="P20" s="195"/>
      <c r="Q20" s="631"/>
    </row>
    <row r="21" spans="1:17" x14ac:dyDescent="0.2">
      <c r="A21" s="41" t="s">
        <v>43</v>
      </c>
      <c r="B21" s="999">
        <f>'6. sz.melléklet'!G104</f>
        <v>238086912</v>
      </c>
      <c r="C21" s="1000"/>
      <c r="D21" s="1000"/>
      <c r="E21" s="1000"/>
      <c r="F21" s="1000">
        <f>SUM('6.a.sz. melléklet'!D10)</f>
        <v>20000000</v>
      </c>
      <c r="G21" s="1000">
        <v>1500000</v>
      </c>
      <c r="H21" s="1000">
        <f>SUM('6.a.sz. melléklet'!D7+'6.a.sz. melléklet'!D12)</f>
        <v>1658215</v>
      </c>
      <c r="I21" s="1000">
        <f>SUM('6.a.sz. melléklet'!D6)+'6.a.sz. melléklet'!D13+'6.a.sz. melléklet'!D12+'6.a.sz. melléklet'!D9</f>
        <v>190239181</v>
      </c>
      <c r="J21" s="1000">
        <f>'6.a.sz. melléklet'!D18</f>
        <v>1500000</v>
      </c>
      <c r="K21" s="1000">
        <v>10660575</v>
      </c>
      <c r="L21" s="1000"/>
      <c r="M21" s="1000"/>
      <c r="N21" s="1010"/>
      <c r="O21" s="1074"/>
      <c r="P21" s="195"/>
      <c r="Q21" s="631"/>
    </row>
    <row r="22" spans="1:17" x14ac:dyDescent="0.2">
      <c r="A22" s="41" t="s">
        <v>122</v>
      </c>
      <c r="B22" s="999">
        <f>'6. sz.melléklet'!H104</f>
        <v>743025714</v>
      </c>
      <c r="C22" s="1000"/>
      <c r="D22" s="1000"/>
      <c r="E22" s="1000">
        <f>'6.a.sz. melléklet'!G42+'6.a.sz. melléklet'!G41+'6.a.sz. melléklet'!G40+'6.a.sz. melléklet'!G39+'6.a.sz. melléklet'!G16</f>
        <v>7264456</v>
      </c>
      <c r="F22" s="1000"/>
      <c r="G22" s="1000">
        <f>'6.a.sz. melléklet'!G34+'6.a.sz. melléklet'!G33+'6.a.sz. melléklet'!G30+'6.a.sz. melléklet'!G26+'6.a.sz. melléklet'!G15+'6.a.sz. melléklet'!G14+'6.a.sz. melléklet'!G9</f>
        <v>20325000</v>
      </c>
      <c r="H22" s="1000"/>
      <c r="I22" s="1000"/>
      <c r="J22" s="1000">
        <f>'6.a.sz. melléklet'!G38+'6.a.sz. melléklet'!G37+'6.a.sz. melléklet'!G36+'6.a.sz. melléklet'!G35+'6.a.sz. melléklet'!G32+'6.a.sz. melléklet'!G31+'6.a.sz. melléklet'!G30+'6.a.sz. melléklet'!G29+'6.a.sz. melléklet'!G28+'6.a.sz. melléklet'!G25+'6.a.sz. melléklet'!G24+'6.a.sz. melléklet'!G23+'6.a.sz. melléklet'!G21+'6.a.sz. melléklet'!G19</f>
        <v>133470000</v>
      </c>
      <c r="K22" s="1000">
        <f>'6.a.sz. melléklet'!G27+'6.a.sz. melléklet'!G8</f>
        <v>502516258</v>
      </c>
      <c r="L22" s="1000">
        <v>77500000</v>
      </c>
      <c r="M22" s="1000"/>
      <c r="N22" s="1000"/>
      <c r="O22" s="1074"/>
      <c r="P22" s="195"/>
      <c r="Q22" s="631"/>
    </row>
    <row r="23" spans="1:17" x14ac:dyDescent="0.2">
      <c r="A23" s="41" t="s">
        <v>222</v>
      </c>
      <c r="B23" s="999">
        <f>'6. sz.melléklet'!F104</f>
        <v>23896000</v>
      </c>
      <c r="C23" s="1000">
        <f>$B23/12</f>
        <v>1991333.3333333333</v>
      </c>
      <c r="D23" s="1000">
        <f t="shared" ref="D23:N23" si="4">$B23/12</f>
        <v>1991333.3333333333</v>
      </c>
      <c r="E23" s="1000">
        <f t="shared" si="4"/>
        <v>1991333.3333333333</v>
      </c>
      <c r="F23" s="1000">
        <f>$B23/12</f>
        <v>1991333.3333333333</v>
      </c>
      <c r="G23" s="1000">
        <f>$B23/12</f>
        <v>1991333.3333333333</v>
      </c>
      <c r="H23" s="1000">
        <f t="shared" si="4"/>
        <v>1991333.3333333333</v>
      </c>
      <c r="I23" s="1000">
        <f t="shared" si="4"/>
        <v>1991333.3333333333</v>
      </c>
      <c r="J23" s="1000">
        <f t="shared" si="4"/>
        <v>1991333.3333333333</v>
      </c>
      <c r="K23" s="1000">
        <f t="shared" si="4"/>
        <v>1991333.3333333333</v>
      </c>
      <c r="L23" s="1000">
        <f t="shared" si="4"/>
        <v>1991333.3333333333</v>
      </c>
      <c r="M23" s="1000">
        <f t="shared" si="4"/>
        <v>1991333.3333333333</v>
      </c>
      <c r="N23" s="1010">
        <f t="shared" si="4"/>
        <v>1991333.3333333333</v>
      </c>
      <c r="O23" s="1074"/>
      <c r="P23" s="195"/>
      <c r="Q23" s="631"/>
    </row>
    <row r="24" spans="1:17" x14ac:dyDescent="0.2">
      <c r="A24" s="41" t="s">
        <v>312</v>
      </c>
      <c r="B24" s="999">
        <f>'6. sz.melléklet'!J104</f>
        <v>23080050</v>
      </c>
      <c r="C24" s="1000"/>
      <c r="D24" s="1000"/>
      <c r="E24" s="1000"/>
      <c r="F24" s="1000">
        <f>SUM('6.b.sz.melléklet'!B39)</f>
        <v>3116897</v>
      </c>
      <c r="G24" s="1000">
        <f>'6.b.sz.melléklet'!B18</f>
        <v>19963153</v>
      </c>
      <c r="H24" s="1000"/>
      <c r="I24" s="1000"/>
      <c r="J24" s="1000"/>
      <c r="K24" s="1000"/>
      <c r="L24" s="1000"/>
      <c r="M24" s="1000"/>
      <c r="N24" s="1010"/>
      <c r="O24" s="1074"/>
      <c r="P24" s="195"/>
      <c r="Q24" s="631"/>
    </row>
    <row r="25" spans="1:17" x14ac:dyDescent="0.2">
      <c r="A25" s="41" t="s">
        <v>44</v>
      </c>
      <c r="B25" s="999">
        <f>'1.sz. melléklet'!B27+'1.sz. melléklet'!B28</f>
        <v>80655707.555555582</v>
      </c>
      <c r="C25" s="1000"/>
      <c r="D25" s="1000"/>
      <c r="E25" s="1000">
        <f>SUM('20.sz. melléklet'!F5)</f>
        <v>26500000</v>
      </c>
      <c r="F25" s="1000"/>
      <c r="G25" s="1000"/>
      <c r="H25" s="1000">
        <f>19935794-20000</f>
        <v>19915794</v>
      </c>
      <c r="I25" s="1000"/>
      <c r="J25" s="1000"/>
      <c r="K25" s="1000">
        <v>40898459</v>
      </c>
      <c r="L25" s="1000">
        <v>8169400</v>
      </c>
      <c r="M25" s="1000"/>
      <c r="N25" s="1010"/>
      <c r="O25" s="1074"/>
      <c r="P25" s="195"/>
      <c r="Q25" s="631"/>
    </row>
    <row r="26" spans="1:17" ht="13.5" thickBot="1" x14ac:dyDescent="0.25">
      <c r="A26" s="49" t="s">
        <v>124</v>
      </c>
      <c r="B26" s="1011">
        <f>'6. sz.melléklet'!M104</f>
        <v>471317843</v>
      </c>
      <c r="C26" s="1012">
        <f>C40+C58+C76+C94+5398843</f>
        <v>44025426.333333336</v>
      </c>
      <c r="D26" s="1012">
        <f>D40+D58+D76+D94</f>
        <v>38426533.333333336</v>
      </c>
      <c r="E26" s="1012">
        <f>E40+E58+E76+E94</f>
        <v>38826533.333333336</v>
      </c>
      <c r="F26" s="1012">
        <f>F40+F58+F76+F94</f>
        <v>38426533.333333336</v>
      </c>
      <c r="G26" s="1012">
        <f t="shared" ref="G26:N26" si="5">G40+G58+G76+G94</f>
        <v>40427883.333333336</v>
      </c>
      <c r="H26" s="1012">
        <f t="shared" si="5"/>
        <v>38826583.333333336</v>
      </c>
      <c r="I26" s="1012">
        <f t="shared" si="5"/>
        <v>38627343.333333336</v>
      </c>
      <c r="J26" s="1012">
        <f t="shared" si="5"/>
        <v>38826033.333333336</v>
      </c>
      <c r="K26" s="1012">
        <f>K40+K58+K76+K94</f>
        <v>38426173.333333336</v>
      </c>
      <c r="L26" s="1012">
        <f>L40+L58+L76+L94</f>
        <v>38826133.333333336</v>
      </c>
      <c r="M26" s="1012">
        <f t="shared" si="5"/>
        <v>38826533.333333336</v>
      </c>
      <c r="N26" s="1012">
        <f t="shared" si="5"/>
        <v>38826133.333333336</v>
      </c>
      <c r="O26" s="1074"/>
      <c r="P26" s="195"/>
      <c r="Q26" s="631"/>
    </row>
    <row r="27" spans="1:17" ht="13.5" thickBot="1" x14ac:dyDescent="0.25">
      <c r="A27" s="47" t="s">
        <v>45</v>
      </c>
      <c r="B27" s="1013">
        <f>SUM(B20:B26)</f>
        <v>2002421316.5555556</v>
      </c>
      <c r="C27" s="1014">
        <f>SUM(C20:C26)</f>
        <v>81213350.5</v>
      </c>
      <c r="D27" s="1014">
        <f>SUM(D20:D26)</f>
        <v>75614457.5</v>
      </c>
      <c r="E27" s="1014">
        <f t="shared" ref="E27:M27" si="6">SUM(E20:E26)</f>
        <v>109778913.5</v>
      </c>
      <c r="F27" s="1014">
        <f t="shared" si="6"/>
        <v>98731354.5</v>
      </c>
      <c r="G27" s="1014">
        <f t="shared" si="6"/>
        <v>119403960.5</v>
      </c>
      <c r="H27" s="1014">
        <f t="shared" si="6"/>
        <v>97588516.5</v>
      </c>
      <c r="I27" s="1014">
        <f t="shared" si="6"/>
        <v>266054448.50000003</v>
      </c>
      <c r="J27" s="1014">
        <f t="shared" si="6"/>
        <v>210983957.50000003</v>
      </c>
      <c r="K27" s="1014">
        <f t="shared" si="6"/>
        <v>629689389.50000012</v>
      </c>
      <c r="L27" s="1014">
        <f t="shared" si="6"/>
        <v>161683457.5</v>
      </c>
      <c r="M27" s="1014">
        <f t="shared" si="6"/>
        <v>76014457.5</v>
      </c>
      <c r="N27" s="1013">
        <f>SUM(N20:N26)</f>
        <v>76014057.5</v>
      </c>
      <c r="O27" s="1074"/>
      <c r="P27" s="195"/>
      <c r="Q27" s="631"/>
    </row>
    <row r="28" spans="1:17" ht="13.5" thickBot="1" x14ac:dyDescent="0.25">
      <c r="A28" s="48"/>
      <c r="B28" s="1015"/>
      <c r="C28" s="1016"/>
      <c r="D28" s="1016"/>
      <c r="E28" s="1016"/>
      <c r="F28" s="1016"/>
      <c r="G28" s="1016"/>
      <c r="H28" s="1016"/>
      <c r="I28" s="1016"/>
      <c r="J28" s="1016"/>
      <c r="K28" s="1016"/>
      <c r="L28" s="1016"/>
      <c r="M28" s="1016"/>
      <c r="N28" s="1015"/>
      <c r="O28" s="1074"/>
      <c r="P28" s="195"/>
      <c r="Q28" s="631"/>
    </row>
    <row r="29" spans="1:17" ht="13.5" thickBot="1" x14ac:dyDescent="0.25">
      <c r="A29" s="47" t="s">
        <v>46</v>
      </c>
      <c r="B29" s="1017">
        <f>B27-B16</f>
        <v>0</v>
      </c>
      <c r="C29" s="1018">
        <f>C16-C27</f>
        <v>362064061.5</v>
      </c>
      <c r="D29" s="1018">
        <f t="shared" ref="D29:N29" si="7">D16-D27</f>
        <v>9767401.5</v>
      </c>
      <c r="E29" s="1018">
        <f t="shared" si="7"/>
        <v>-18213304.5</v>
      </c>
      <c r="F29" s="1018">
        <f t="shared" si="7"/>
        <v>84431354.5</v>
      </c>
      <c r="G29" s="1018">
        <f t="shared" si="7"/>
        <v>50777898.5</v>
      </c>
      <c r="H29" s="1018">
        <f t="shared" si="7"/>
        <v>106688895.5</v>
      </c>
      <c r="I29" s="1018">
        <f t="shared" si="7"/>
        <v>-22552589.50000003</v>
      </c>
      <c r="J29" s="1018">
        <f t="shared" si="7"/>
        <v>-135602098.50000003</v>
      </c>
      <c r="K29" s="1018">
        <f t="shared" si="7"/>
        <v>-502066227.50000012</v>
      </c>
      <c r="L29" s="1018">
        <f t="shared" si="7"/>
        <v>-96785177.944444448</v>
      </c>
      <c r="M29" s="1018">
        <f t="shared" si="7"/>
        <v>70659495.5</v>
      </c>
      <c r="N29" s="1017">
        <f t="shared" si="7"/>
        <v>90481286.5</v>
      </c>
      <c r="O29" s="1074"/>
      <c r="P29" s="195"/>
      <c r="Q29" s="631"/>
    </row>
    <row r="30" spans="1:17" x14ac:dyDescent="0.2">
      <c r="A30" s="132"/>
      <c r="B30" s="631"/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1"/>
      <c r="N30" s="1019"/>
      <c r="O30" s="1074"/>
      <c r="P30" s="195"/>
      <c r="Q30" s="631"/>
    </row>
    <row r="31" spans="1:17" s="181" customFormat="1" x14ac:dyDescent="0.2">
      <c r="A31" s="180" t="s">
        <v>74</v>
      </c>
      <c r="B31" s="1020"/>
      <c r="C31" s="1020">
        <f>C16-C27</f>
        <v>362064061.5</v>
      </c>
      <c r="D31" s="1020">
        <f>C31+D16-D27</f>
        <v>371831463</v>
      </c>
      <c r="E31" s="1020">
        <f>D31+E16-E27</f>
        <v>353618158.5</v>
      </c>
      <c r="F31" s="1020">
        <f>E31+F16-F27</f>
        <v>438049513</v>
      </c>
      <c r="G31" s="1020">
        <f>F31+G16-G27</f>
        <v>488827411.5</v>
      </c>
      <c r="H31" s="1020">
        <f t="shared" ref="H31:N31" si="8">G31+H16-H27</f>
        <v>595516307</v>
      </c>
      <c r="I31" s="1020">
        <f t="shared" si="8"/>
        <v>572963717.5</v>
      </c>
      <c r="J31" s="1020">
        <f t="shared" si="8"/>
        <v>437361619</v>
      </c>
      <c r="K31" s="1020">
        <f t="shared" si="8"/>
        <v>-64704608.500000119</v>
      </c>
      <c r="L31" s="1020">
        <f t="shared" si="8"/>
        <v>-161489786.44444457</v>
      </c>
      <c r="M31" s="1020">
        <f t="shared" si="8"/>
        <v>-90830290.944444567</v>
      </c>
      <c r="N31" s="1068">
        <f t="shared" si="8"/>
        <v>-349004.44444456697</v>
      </c>
      <c r="O31" s="1074"/>
      <c r="P31" s="195"/>
      <c r="Q31" s="631"/>
    </row>
    <row r="32" spans="1:17" ht="8.25" customHeight="1" x14ac:dyDescent="0.2">
      <c r="A32" s="132"/>
      <c r="B32" s="631"/>
      <c r="C32" s="631"/>
      <c r="D32" s="631"/>
      <c r="E32" s="631"/>
      <c r="F32" s="631"/>
      <c r="G32" s="631"/>
      <c r="H32" s="631"/>
      <c r="I32" s="631"/>
      <c r="J32" s="631"/>
      <c r="K32" s="631"/>
      <c r="L32" s="631"/>
      <c r="M32" s="631"/>
      <c r="N32" s="1019"/>
      <c r="O32" s="1074"/>
      <c r="P32" s="195"/>
    </row>
    <row r="33" spans="1:16" hidden="1" x14ac:dyDescent="0.2">
      <c r="A33" s="13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205"/>
      <c r="O33" s="1074"/>
    </row>
    <row r="34" spans="1:16" ht="13.5" thickBot="1" x14ac:dyDescent="0.25">
      <c r="A34" s="170" t="s">
        <v>30</v>
      </c>
      <c r="B34" s="171"/>
      <c r="C34" s="172"/>
      <c r="D34" s="172"/>
      <c r="E34" s="172"/>
      <c r="F34" s="171"/>
      <c r="G34" s="173"/>
      <c r="H34" s="173"/>
      <c r="I34" s="174"/>
      <c r="J34" s="175"/>
      <c r="K34" s="175" t="s">
        <v>490</v>
      </c>
      <c r="L34" s="176"/>
      <c r="M34" s="175"/>
      <c r="N34" s="177"/>
      <c r="O34" s="1074"/>
    </row>
    <row r="35" spans="1:16" x14ac:dyDescent="0.2">
      <c r="A35" s="31" t="s">
        <v>32</v>
      </c>
      <c r="B35" s="34" t="s">
        <v>0</v>
      </c>
      <c r="C35" s="32" t="s">
        <v>33</v>
      </c>
      <c r="D35" s="32" t="s">
        <v>34</v>
      </c>
      <c r="E35" s="32" t="s">
        <v>35</v>
      </c>
      <c r="F35" s="32" t="s">
        <v>36</v>
      </c>
      <c r="G35" s="32" t="s">
        <v>37</v>
      </c>
      <c r="H35" s="32" t="s">
        <v>38</v>
      </c>
      <c r="I35" s="32" t="s">
        <v>39</v>
      </c>
      <c r="J35" s="32" t="s">
        <v>47</v>
      </c>
      <c r="K35" s="33" t="s">
        <v>48</v>
      </c>
      <c r="L35" s="32" t="s">
        <v>49</v>
      </c>
      <c r="M35" s="32" t="s">
        <v>50</v>
      </c>
      <c r="N35" s="34" t="s">
        <v>51</v>
      </c>
      <c r="O35" s="1074"/>
    </row>
    <row r="36" spans="1:16" ht="13.5" thickBot="1" x14ac:dyDescent="0.25">
      <c r="A36" s="35" t="s">
        <v>40</v>
      </c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7"/>
      <c r="O36" s="1074"/>
    </row>
    <row r="37" spans="1:16" ht="8.25" customHeight="1" x14ac:dyDescent="0.2">
      <c r="A37" s="38"/>
      <c r="B37" s="40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  <c r="O37" s="1074"/>
    </row>
    <row r="38" spans="1:16" x14ac:dyDescent="0.2">
      <c r="A38" s="1071" t="s">
        <v>179</v>
      </c>
      <c r="B38" s="1072">
        <f>'13.sz.melléklet'!C30</f>
        <v>0</v>
      </c>
      <c r="C38" s="1069"/>
      <c r="D38" s="1069"/>
      <c r="E38" s="1069"/>
      <c r="F38" s="1069"/>
      <c r="G38" s="1069"/>
      <c r="H38" s="1069"/>
      <c r="I38" s="1069"/>
      <c r="J38" s="1069"/>
      <c r="K38" s="1069"/>
      <c r="L38" s="1069"/>
      <c r="M38" s="1069"/>
      <c r="N38" s="1069"/>
      <c r="O38" s="1074"/>
      <c r="P38" s="195"/>
    </row>
    <row r="39" spans="1:16" x14ac:dyDescent="0.2">
      <c r="A39" s="41" t="s">
        <v>292</v>
      </c>
      <c r="B39" s="999">
        <f>'13.sz.melléklet'!D30</f>
        <v>10180000</v>
      </c>
      <c r="C39" s="1000">
        <f>$B$39/12</f>
        <v>848333.33333333337</v>
      </c>
      <c r="D39" s="1000">
        <f t="shared" ref="D39:N39" si="9">$B$39/12</f>
        <v>848333.33333333337</v>
      </c>
      <c r="E39" s="1000">
        <f t="shared" si="9"/>
        <v>848333.33333333337</v>
      </c>
      <c r="F39" s="1000">
        <f t="shared" si="9"/>
        <v>848333.33333333337</v>
      </c>
      <c r="G39" s="1000">
        <f t="shared" si="9"/>
        <v>848333.33333333337</v>
      </c>
      <c r="H39" s="1000">
        <f t="shared" si="9"/>
        <v>848333.33333333337</v>
      </c>
      <c r="I39" s="1000">
        <f t="shared" si="9"/>
        <v>848333.33333333337</v>
      </c>
      <c r="J39" s="1000">
        <f t="shared" si="9"/>
        <v>848333.33333333337</v>
      </c>
      <c r="K39" s="1000">
        <f t="shared" si="9"/>
        <v>848333.33333333337</v>
      </c>
      <c r="L39" s="1000">
        <f t="shared" si="9"/>
        <v>848333.33333333337</v>
      </c>
      <c r="M39" s="1000">
        <f t="shared" si="9"/>
        <v>848333.33333333337</v>
      </c>
      <c r="N39" s="1010">
        <f t="shared" si="9"/>
        <v>848333.33333333337</v>
      </c>
      <c r="O39" s="1074"/>
      <c r="P39" s="195"/>
    </row>
    <row r="40" spans="1:16" x14ac:dyDescent="0.2">
      <c r="A40" s="41" t="s">
        <v>296</v>
      </c>
      <c r="B40" s="1001">
        <f>'13.sz.melléklet'!E30</f>
        <v>139902000</v>
      </c>
      <c r="C40" s="1002">
        <f>$B$40/12</f>
        <v>11658500</v>
      </c>
      <c r="D40" s="1002">
        <f t="shared" ref="D40:N40" si="10">$B$40/12</f>
        <v>11658500</v>
      </c>
      <c r="E40" s="1002">
        <f t="shared" si="10"/>
        <v>11658500</v>
      </c>
      <c r="F40" s="1002">
        <f t="shared" si="10"/>
        <v>11658500</v>
      </c>
      <c r="G40" s="1002">
        <f t="shared" si="10"/>
        <v>11658500</v>
      </c>
      <c r="H40" s="1002">
        <f t="shared" si="10"/>
        <v>11658500</v>
      </c>
      <c r="I40" s="1002">
        <f t="shared" si="10"/>
        <v>11658500</v>
      </c>
      <c r="J40" s="1002">
        <f t="shared" si="10"/>
        <v>11658500</v>
      </c>
      <c r="K40" s="1002">
        <f t="shared" si="10"/>
        <v>11658500</v>
      </c>
      <c r="L40" s="1002">
        <f t="shared" si="10"/>
        <v>11658500</v>
      </c>
      <c r="M40" s="1002">
        <f t="shared" si="10"/>
        <v>11658500</v>
      </c>
      <c r="N40" s="1002">
        <f t="shared" si="10"/>
        <v>11658500</v>
      </c>
      <c r="O40" s="1074"/>
      <c r="P40" s="195"/>
    </row>
    <row r="41" spans="1:16" ht="13.5" thickBot="1" x14ac:dyDescent="0.25">
      <c r="A41" s="42"/>
      <c r="B41" s="1067"/>
      <c r="C41" s="1005"/>
      <c r="D41" s="1005"/>
      <c r="E41" s="1005"/>
      <c r="F41" s="1005"/>
      <c r="G41" s="1005"/>
      <c r="H41" s="1005"/>
      <c r="I41" s="1005"/>
      <c r="J41" s="1005"/>
      <c r="K41" s="1005"/>
      <c r="L41" s="1005"/>
      <c r="M41" s="1005"/>
      <c r="N41" s="1067"/>
      <c r="O41" s="1074"/>
      <c r="P41" s="195"/>
    </row>
    <row r="42" spans="1:16" ht="13.5" thickBot="1" x14ac:dyDescent="0.25">
      <c r="A42" s="43" t="s">
        <v>19</v>
      </c>
      <c r="B42" s="1006">
        <f>SUM(B38:B41)</f>
        <v>150082000</v>
      </c>
      <c r="C42" s="1007">
        <f>SUM(C38:C41)</f>
        <v>12506833.333333334</v>
      </c>
      <c r="D42" s="1007">
        <f t="shared" ref="D42:N42" si="11">SUM(D38:D41)</f>
        <v>12506833.333333334</v>
      </c>
      <c r="E42" s="1007">
        <f t="shared" si="11"/>
        <v>12506833.333333334</v>
      </c>
      <c r="F42" s="1007">
        <f t="shared" si="11"/>
        <v>12506833.333333334</v>
      </c>
      <c r="G42" s="1007">
        <f t="shared" si="11"/>
        <v>12506833.333333334</v>
      </c>
      <c r="H42" s="1007">
        <f t="shared" si="11"/>
        <v>12506833.333333334</v>
      </c>
      <c r="I42" s="1007">
        <f t="shared" si="11"/>
        <v>12506833.333333334</v>
      </c>
      <c r="J42" s="1007">
        <f t="shared" si="11"/>
        <v>12506833.333333334</v>
      </c>
      <c r="K42" s="1007">
        <f t="shared" si="11"/>
        <v>12506833.333333334</v>
      </c>
      <c r="L42" s="1007">
        <f t="shared" si="11"/>
        <v>12506833.333333334</v>
      </c>
      <c r="M42" s="1007">
        <f t="shared" si="11"/>
        <v>12506833.333333334</v>
      </c>
      <c r="N42" s="1007">
        <f t="shared" si="11"/>
        <v>12506833.333333334</v>
      </c>
      <c r="O42" s="1074"/>
      <c r="P42" s="195"/>
    </row>
    <row r="43" spans="1:16" ht="6" customHeight="1" x14ac:dyDescent="0.2">
      <c r="A43" s="44"/>
      <c r="B43" s="1008"/>
      <c r="C43" s="1009"/>
      <c r="D43" s="1009"/>
      <c r="E43" s="1009"/>
      <c r="F43" s="1009"/>
      <c r="G43" s="1009"/>
      <c r="H43" s="1009"/>
      <c r="I43" s="1009"/>
      <c r="J43" s="1009"/>
      <c r="K43" s="1009"/>
      <c r="L43" s="1009"/>
      <c r="M43" s="1009"/>
      <c r="N43" s="1008"/>
      <c r="O43" s="1074"/>
      <c r="P43" s="195"/>
    </row>
    <row r="44" spans="1:16" x14ac:dyDescent="0.2">
      <c r="A44" s="45" t="s">
        <v>41</v>
      </c>
      <c r="B44" s="1010"/>
      <c r="C44" s="1000"/>
      <c r="D44" s="1000"/>
      <c r="E44" s="1000"/>
      <c r="F44" s="1000"/>
      <c r="G44" s="1000"/>
      <c r="H44" s="1000"/>
      <c r="I44" s="1000"/>
      <c r="J44" s="1000"/>
      <c r="K44" s="1000"/>
      <c r="L44" s="1000"/>
      <c r="M44" s="1000"/>
      <c r="N44" s="1010"/>
      <c r="O44" s="1074"/>
      <c r="P44" s="195"/>
    </row>
    <row r="45" spans="1:16" x14ac:dyDescent="0.2">
      <c r="A45" s="45"/>
      <c r="B45" s="1010"/>
      <c r="C45" s="1000"/>
      <c r="D45" s="1000"/>
      <c r="E45" s="1000"/>
      <c r="F45" s="1000"/>
      <c r="G45" s="1000"/>
      <c r="H45" s="1000"/>
      <c r="I45" s="1000"/>
      <c r="J45" s="1000"/>
      <c r="K45" s="1000"/>
      <c r="L45" s="1000"/>
      <c r="M45" s="1000"/>
      <c r="N45" s="1010"/>
      <c r="O45" s="1074"/>
      <c r="P45" s="195"/>
    </row>
    <row r="46" spans="1:16" x14ac:dyDescent="0.2">
      <c r="A46" s="46" t="s">
        <v>122</v>
      </c>
      <c r="B46" s="999">
        <f>SUM('1.sz. melléklet'!D23)</f>
        <v>5700000</v>
      </c>
      <c r="C46" s="1000"/>
      <c r="D46" s="1000">
        <f>SUM('13.a.sz. melléklet'!I6)/10</f>
        <v>50000</v>
      </c>
      <c r="E46" s="1000">
        <f>SUM('13.a.sz. melléklet'!I6)/10</f>
        <v>50000</v>
      </c>
      <c r="F46" s="1000">
        <f>SUM(E46+'13.a.sz. melléklet'!I10)</f>
        <v>50000</v>
      </c>
      <c r="G46" s="1000">
        <v>2751000</v>
      </c>
      <c r="H46" s="1000">
        <v>2422333</v>
      </c>
      <c r="I46" s="1000">
        <f>SUM(E46)</f>
        <v>50000</v>
      </c>
      <c r="J46" s="1000">
        <f>SUM(I46)</f>
        <v>50000</v>
      </c>
      <c r="K46" s="1000">
        <f t="shared" ref="K46" si="12">SUM(J46)</f>
        <v>50000</v>
      </c>
      <c r="L46" s="1000">
        <f>SUM(K46)</f>
        <v>50000</v>
      </c>
      <c r="M46" s="1000">
        <f>SUM(L46)+50000</f>
        <v>100000</v>
      </c>
      <c r="N46" s="1000">
        <f>SUM(M46)-23333</f>
        <v>76667</v>
      </c>
      <c r="O46" s="1074"/>
      <c r="P46" s="195"/>
    </row>
    <row r="47" spans="1:16" ht="13.5" thickBot="1" x14ac:dyDescent="0.25">
      <c r="A47" s="41" t="s">
        <v>42</v>
      </c>
      <c r="B47" s="999">
        <f>B42-B46</f>
        <v>144382000</v>
      </c>
      <c r="C47" s="1000">
        <f>$B$47/12+405</f>
        <v>12032238.333333334</v>
      </c>
      <c r="D47" s="1000">
        <f t="shared" ref="D47:M47" si="13">$B$47/12+405</f>
        <v>12032238.333333334</v>
      </c>
      <c r="E47" s="1000">
        <f t="shared" si="13"/>
        <v>12032238.333333334</v>
      </c>
      <c r="F47" s="1000">
        <f t="shared" si="13"/>
        <v>12032238.333333334</v>
      </c>
      <c r="G47" s="1000">
        <f t="shared" si="13"/>
        <v>12032238.333333334</v>
      </c>
      <c r="H47" s="1000">
        <f t="shared" si="13"/>
        <v>12032238.333333334</v>
      </c>
      <c r="I47" s="1000">
        <f t="shared" si="13"/>
        <v>12032238.333333334</v>
      </c>
      <c r="J47" s="1000">
        <f t="shared" si="13"/>
        <v>12032238.333333334</v>
      </c>
      <c r="K47" s="1000">
        <f t="shared" si="13"/>
        <v>12032238.333333334</v>
      </c>
      <c r="L47" s="1000">
        <f t="shared" si="13"/>
        <v>12032238.333333334</v>
      </c>
      <c r="M47" s="1000">
        <f t="shared" si="13"/>
        <v>12032238.333333334</v>
      </c>
      <c r="N47" s="1000">
        <f>$B$47/12+405-4860</f>
        <v>12027378.333333334</v>
      </c>
      <c r="O47" s="1074"/>
      <c r="P47" s="195"/>
    </row>
    <row r="48" spans="1:16" ht="13.5" thickBot="1" x14ac:dyDescent="0.25">
      <c r="A48" s="47" t="s">
        <v>45</v>
      </c>
      <c r="B48" s="1013">
        <f>SUM(B46:B47)</f>
        <v>150082000</v>
      </c>
      <c r="C48" s="1014">
        <f>SUM(C46:C47)</f>
        <v>12032238.333333334</v>
      </c>
      <c r="D48" s="1014">
        <f t="shared" ref="D48:N48" si="14">SUM(D46:D47)</f>
        <v>12082238.333333334</v>
      </c>
      <c r="E48" s="1014">
        <f t="shared" si="14"/>
        <v>12082238.333333334</v>
      </c>
      <c r="F48" s="1014">
        <f t="shared" si="14"/>
        <v>12082238.333333334</v>
      </c>
      <c r="G48" s="1014">
        <f t="shared" si="14"/>
        <v>14783238.333333334</v>
      </c>
      <c r="H48" s="1014">
        <f t="shared" si="14"/>
        <v>14454571.333333334</v>
      </c>
      <c r="I48" s="1014">
        <f t="shared" si="14"/>
        <v>12082238.333333334</v>
      </c>
      <c r="J48" s="1014">
        <f t="shared" si="14"/>
        <v>12082238.333333334</v>
      </c>
      <c r="K48" s="1014">
        <f t="shared" si="14"/>
        <v>12082238.333333334</v>
      </c>
      <c r="L48" s="1014">
        <f t="shared" si="14"/>
        <v>12082238.333333334</v>
      </c>
      <c r="M48" s="1014">
        <f t="shared" si="14"/>
        <v>12132238.333333334</v>
      </c>
      <c r="N48" s="1014">
        <f t="shared" si="14"/>
        <v>12104045.333333334</v>
      </c>
      <c r="O48" s="1074"/>
      <c r="P48" s="195"/>
    </row>
    <row r="49" spans="1:16" ht="13.5" thickBot="1" x14ac:dyDescent="0.25">
      <c r="A49" s="48"/>
      <c r="B49" s="1015"/>
      <c r="C49" s="1016"/>
      <c r="D49" s="1016"/>
      <c r="E49" s="1016"/>
      <c r="F49" s="1016"/>
      <c r="G49" s="1016"/>
      <c r="H49" s="1016"/>
      <c r="I49" s="1016"/>
      <c r="J49" s="1016"/>
      <c r="K49" s="1016"/>
      <c r="L49" s="1016"/>
      <c r="M49" s="1016"/>
      <c r="N49" s="1015"/>
      <c r="O49" s="1074"/>
      <c r="P49" s="195"/>
    </row>
    <row r="50" spans="1:16" ht="13.5" thickBot="1" x14ac:dyDescent="0.25">
      <c r="A50" s="47" t="s">
        <v>46</v>
      </c>
      <c r="B50" s="1017">
        <f>B48-B42</f>
        <v>0</v>
      </c>
      <c r="C50" s="1018">
        <f t="shared" ref="C50:N50" si="15">C42-C48</f>
        <v>474595</v>
      </c>
      <c r="D50" s="1018">
        <f t="shared" si="15"/>
        <v>424595</v>
      </c>
      <c r="E50" s="1018">
        <f t="shared" si="15"/>
        <v>424595</v>
      </c>
      <c r="F50" s="1018">
        <f t="shared" si="15"/>
        <v>424595</v>
      </c>
      <c r="G50" s="1018">
        <f t="shared" si="15"/>
        <v>-2276405</v>
      </c>
      <c r="H50" s="1018">
        <f t="shared" si="15"/>
        <v>-1947738</v>
      </c>
      <c r="I50" s="1018">
        <f t="shared" si="15"/>
        <v>424595</v>
      </c>
      <c r="J50" s="1018">
        <f t="shared" si="15"/>
        <v>424595</v>
      </c>
      <c r="K50" s="1018">
        <f t="shared" si="15"/>
        <v>424595</v>
      </c>
      <c r="L50" s="1018">
        <f t="shared" si="15"/>
        <v>424595</v>
      </c>
      <c r="M50" s="1018">
        <f t="shared" si="15"/>
        <v>374595</v>
      </c>
      <c r="N50" s="1017">
        <f t="shared" si="15"/>
        <v>402788</v>
      </c>
      <c r="O50" s="1074"/>
      <c r="P50" s="195"/>
    </row>
    <row r="51" spans="1:16" x14ac:dyDescent="0.2">
      <c r="A51" s="132" t="s">
        <v>74</v>
      </c>
      <c r="B51" s="195"/>
      <c r="C51" s="631">
        <f>C42-C48</f>
        <v>474595</v>
      </c>
      <c r="D51" s="631">
        <f t="shared" ref="D51:N51" si="16">C51+D42-D48</f>
        <v>899190</v>
      </c>
      <c r="E51" s="631">
        <f t="shared" si="16"/>
        <v>1323785</v>
      </c>
      <c r="F51" s="631">
        <f t="shared" si="16"/>
        <v>1748380</v>
      </c>
      <c r="G51" s="631">
        <f t="shared" si="16"/>
        <v>-528025</v>
      </c>
      <c r="H51" s="631">
        <f t="shared" si="16"/>
        <v>-2475763</v>
      </c>
      <c r="I51" s="631">
        <f t="shared" si="16"/>
        <v>-2051168</v>
      </c>
      <c r="J51" s="631">
        <f t="shared" si="16"/>
        <v>-1626573</v>
      </c>
      <c r="K51" s="631">
        <f t="shared" si="16"/>
        <v>-1201978</v>
      </c>
      <c r="L51" s="631">
        <f t="shared" si="16"/>
        <v>-777383</v>
      </c>
      <c r="M51" s="631">
        <f t="shared" si="16"/>
        <v>-402788</v>
      </c>
      <c r="N51" s="1019">
        <f t="shared" si="16"/>
        <v>0</v>
      </c>
      <c r="O51" s="1074"/>
      <c r="P51" s="195"/>
    </row>
    <row r="52" spans="1:16" x14ac:dyDescent="0.2">
      <c r="A52" s="132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205"/>
      <c r="O52" s="1074"/>
      <c r="P52" s="195"/>
    </row>
    <row r="53" spans="1:16" ht="13.5" thickBot="1" x14ac:dyDescent="0.25">
      <c r="A53" s="170" t="s">
        <v>56</v>
      </c>
      <c r="B53" s="171"/>
      <c r="C53" s="172"/>
      <c r="D53" s="172"/>
      <c r="E53" s="172"/>
      <c r="F53" s="171"/>
      <c r="G53" s="173"/>
      <c r="H53" s="173"/>
      <c r="I53" s="174"/>
      <c r="J53" s="175"/>
      <c r="K53" s="175" t="s">
        <v>490</v>
      </c>
      <c r="L53" s="176"/>
      <c r="M53" s="175"/>
      <c r="N53" s="177"/>
      <c r="O53" s="1074"/>
      <c r="P53" s="195"/>
    </row>
    <row r="54" spans="1:16" x14ac:dyDescent="0.2">
      <c r="A54" s="31" t="s">
        <v>32</v>
      </c>
      <c r="B54" s="34" t="s">
        <v>0</v>
      </c>
      <c r="C54" s="32" t="s">
        <v>33</v>
      </c>
      <c r="D54" s="32" t="s">
        <v>34</v>
      </c>
      <c r="E54" s="32" t="s">
        <v>35</v>
      </c>
      <c r="F54" s="32" t="s">
        <v>36</v>
      </c>
      <c r="G54" s="32" t="s">
        <v>37</v>
      </c>
      <c r="H54" s="32" t="s">
        <v>38</v>
      </c>
      <c r="I54" s="32" t="s">
        <v>39</v>
      </c>
      <c r="J54" s="32" t="s">
        <v>47</v>
      </c>
      <c r="K54" s="33" t="s">
        <v>48</v>
      </c>
      <c r="L54" s="32" t="s">
        <v>49</v>
      </c>
      <c r="M54" s="32" t="s">
        <v>50</v>
      </c>
      <c r="N54" s="34" t="s">
        <v>51</v>
      </c>
      <c r="O54" s="1074"/>
      <c r="P54" s="195"/>
    </row>
    <row r="55" spans="1:16" ht="13.5" thickBot="1" x14ac:dyDescent="0.25">
      <c r="A55" s="35" t="s">
        <v>40</v>
      </c>
      <c r="B55" s="37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1074"/>
      <c r="P55" s="195"/>
    </row>
    <row r="56" spans="1:16" ht="7.5" customHeight="1" x14ac:dyDescent="0.2">
      <c r="A56" s="38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40"/>
      <c r="O56" s="1074"/>
      <c r="P56" s="195"/>
    </row>
    <row r="57" spans="1:16" x14ac:dyDescent="0.2">
      <c r="A57" s="41" t="s">
        <v>292</v>
      </c>
      <c r="B57" s="999">
        <f>'14.sz.melléklet'!C36</f>
        <v>4158000</v>
      </c>
      <c r="C57" s="1000">
        <f>$B57/12</f>
        <v>346500</v>
      </c>
      <c r="D57" s="1000">
        <f t="shared" ref="D57:N57" si="17">$B57/12</f>
        <v>346500</v>
      </c>
      <c r="E57" s="1000">
        <f t="shared" si="17"/>
        <v>346500</v>
      </c>
      <c r="F57" s="1000">
        <f t="shared" si="17"/>
        <v>346500</v>
      </c>
      <c r="G57" s="1000">
        <f t="shared" si="17"/>
        <v>346500</v>
      </c>
      <c r="H57" s="1000">
        <f t="shared" si="17"/>
        <v>346500</v>
      </c>
      <c r="I57" s="1000">
        <f t="shared" si="17"/>
        <v>346500</v>
      </c>
      <c r="J57" s="1000">
        <f t="shared" si="17"/>
        <v>346500</v>
      </c>
      <c r="K57" s="1000">
        <f t="shared" si="17"/>
        <v>346500</v>
      </c>
      <c r="L57" s="1000">
        <f t="shared" si="17"/>
        <v>346500</v>
      </c>
      <c r="M57" s="1000">
        <f t="shared" si="17"/>
        <v>346500</v>
      </c>
      <c r="N57" s="1010">
        <f t="shared" si="17"/>
        <v>346500</v>
      </c>
      <c r="O57" s="1074"/>
      <c r="P57" s="195"/>
    </row>
    <row r="58" spans="1:16" x14ac:dyDescent="0.2">
      <c r="A58" s="41" t="s">
        <v>296</v>
      </c>
      <c r="B58" s="1001">
        <f>'14.sz.melléklet'!G24</f>
        <v>185830000</v>
      </c>
      <c r="C58" s="1002">
        <f>($B$58/12)-200000</f>
        <v>15285833.333333334</v>
      </c>
      <c r="D58" s="1002">
        <f>($B$58/12)-50-400000</f>
        <v>15085783.333333334</v>
      </c>
      <c r="E58" s="1002">
        <f t="shared" ref="E58:N58" si="18">($B$58/12)-50</f>
        <v>15485783.333333334</v>
      </c>
      <c r="F58" s="1002">
        <f>($B$58/12)-50-400000</f>
        <v>15085783.333333334</v>
      </c>
      <c r="G58" s="1002">
        <f>($B$58/12)+1600000</f>
        <v>17085833.333333336</v>
      </c>
      <c r="H58" s="1002">
        <f>($B$58/12)</f>
        <v>15485833.333333334</v>
      </c>
      <c r="I58" s="1002">
        <f>($B$58/12)-40+800-200000</f>
        <v>15286593.333333334</v>
      </c>
      <c r="J58" s="1002">
        <f t="shared" si="18"/>
        <v>15485783.333333334</v>
      </c>
      <c r="K58" s="1002">
        <f>($B$58/12)-400000-410</f>
        <v>15085423.333333334</v>
      </c>
      <c r="L58" s="1002">
        <f t="shared" si="18"/>
        <v>15485783.333333334</v>
      </c>
      <c r="M58" s="1002">
        <f t="shared" si="18"/>
        <v>15485783.333333334</v>
      </c>
      <c r="N58" s="1002">
        <f t="shared" si="18"/>
        <v>15485783.333333334</v>
      </c>
      <c r="O58" s="1074"/>
      <c r="P58" s="195"/>
    </row>
    <row r="59" spans="1:16" ht="13.5" thickBot="1" x14ac:dyDescent="0.25">
      <c r="A59" s="42"/>
      <c r="B59" s="1067"/>
      <c r="C59" s="1005"/>
      <c r="D59" s="1005"/>
      <c r="E59" s="1005"/>
      <c r="F59" s="1005"/>
      <c r="G59" s="1005"/>
      <c r="H59" s="1005"/>
      <c r="I59" s="1005"/>
      <c r="J59" s="1005"/>
      <c r="K59" s="1005"/>
      <c r="L59" s="1005"/>
      <c r="M59" s="1005"/>
      <c r="N59" s="1067"/>
      <c r="O59" s="1074"/>
      <c r="P59" s="195"/>
    </row>
    <row r="60" spans="1:16" ht="13.5" thickBot="1" x14ac:dyDescent="0.25">
      <c r="A60" s="43" t="s">
        <v>19</v>
      </c>
      <c r="B60" s="1006">
        <f t="shared" ref="B60:N60" si="19">SUM(B57:B59)</f>
        <v>189988000</v>
      </c>
      <c r="C60" s="1007">
        <f>SUM(C57:C59)</f>
        <v>15632333.333333334</v>
      </c>
      <c r="D60" s="1007">
        <f t="shared" si="19"/>
        <v>15432283.333333334</v>
      </c>
      <c r="E60" s="1007">
        <f t="shared" si="19"/>
        <v>15832283.333333334</v>
      </c>
      <c r="F60" s="1007">
        <f t="shared" si="19"/>
        <v>15432283.333333334</v>
      </c>
      <c r="G60" s="1007">
        <f t="shared" si="19"/>
        <v>17432333.333333336</v>
      </c>
      <c r="H60" s="1007">
        <f t="shared" si="19"/>
        <v>15832333.333333334</v>
      </c>
      <c r="I60" s="1007">
        <f t="shared" si="19"/>
        <v>15633093.333333334</v>
      </c>
      <c r="J60" s="1007">
        <f t="shared" si="19"/>
        <v>15832283.333333334</v>
      </c>
      <c r="K60" s="1007">
        <f t="shared" si="19"/>
        <v>15431923.333333334</v>
      </c>
      <c r="L60" s="1007">
        <f t="shared" si="19"/>
        <v>15832283.333333334</v>
      </c>
      <c r="M60" s="1007">
        <f t="shared" si="19"/>
        <v>15832283.333333334</v>
      </c>
      <c r="N60" s="1006">
        <f t="shared" si="19"/>
        <v>15832283.333333334</v>
      </c>
      <c r="O60" s="1074"/>
      <c r="P60" s="195"/>
    </row>
    <row r="61" spans="1:16" x14ac:dyDescent="0.2">
      <c r="A61" s="44"/>
      <c r="B61" s="1008"/>
      <c r="C61" s="1009"/>
      <c r="D61" s="1009"/>
      <c r="E61" s="1009"/>
      <c r="F61" s="1009"/>
      <c r="G61" s="1009"/>
      <c r="H61" s="1009"/>
      <c r="I61" s="1009"/>
      <c r="J61" s="1009"/>
      <c r="K61" s="1009"/>
      <c r="L61" s="1009"/>
      <c r="M61" s="1009"/>
      <c r="N61" s="1008"/>
      <c r="O61" s="1074"/>
      <c r="P61" s="195"/>
    </row>
    <row r="62" spans="1:16" x14ac:dyDescent="0.2">
      <c r="A62" s="45" t="s">
        <v>41</v>
      </c>
      <c r="B62" s="1010"/>
      <c r="C62" s="1000"/>
      <c r="D62" s="1000"/>
      <c r="E62" s="1000"/>
      <c r="F62" s="1000"/>
      <c r="G62" s="1000"/>
      <c r="H62" s="1000"/>
      <c r="I62" s="1000"/>
      <c r="J62" s="1000"/>
      <c r="K62" s="1000"/>
      <c r="L62" s="1000"/>
      <c r="M62" s="1000"/>
      <c r="N62" s="1010"/>
      <c r="O62" s="1074"/>
      <c r="P62" s="195"/>
    </row>
    <row r="63" spans="1:16" ht="6" customHeight="1" x14ac:dyDescent="0.2">
      <c r="A63" s="46"/>
      <c r="B63" s="1010"/>
      <c r="C63" s="1000"/>
      <c r="D63" s="1000"/>
      <c r="E63" s="1000"/>
      <c r="F63" s="1000"/>
      <c r="G63" s="1000"/>
      <c r="H63" s="1000"/>
      <c r="I63" s="1000"/>
      <c r="J63" s="1000"/>
      <c r="K63" s="1000"/>
      <c r="L63" s="1000"/>
      <c r="M63" s="1000"/>
      <c r="N63" s="1010"/>
      <c r="O63" s="1074"/>
      <c r="P63" s="195"/>
    </row>
    <row r="64" spans="1:16" x14ac:dyDescent="0.2">
      <c r="A64" s="41" t="s">
        <v>42</v>
      </c>
      <c r="B64" s="999">
        <f>B60-B65</f>
        <v>186325000</v>
      </c>
      <c r="C64" s="1000">
        <f>($B$64/12)</f>
        <v>15527083.333333334</v>
      </c>
      <c r="D64" s="1000">
        <f>($B$64/12)</f>
        <v>15527083.333333334</v>
      </c>
      <c r="E64" s="1000">
        <f t="shared" ref="E64:N64" si="20">($B$64/12)</f>
        <v>15527083.333333334</v>
      </c>
      <c r="F64" s="1000">
        <f t="shared" si="20"/>
        <v>15527083.333333334</v>
      </c>
      <c r="G64" s="1000">
        <f t="shared" si="20"/>
        <v>15527083.333333334</v>
      </c>
      <c r="H64" s="1000">
        <f t="shared" si="20"/>
        <v>15527083.333333334</v>
      </c>
      <c r="I64" s="1000">
        <f t="shared" si="20"/>
        <v>15527083.333333334</v>
      </c>
      <c r="J64" s="1000">
        <f t="shared" si="20"/>
        <v>15527083.333333334</v>
      </c>
      <c r="K64" s="1000">
        <f t="shared" si="20"/>
        <v>15527083.333333334</v>
      </c>
      <c r="L64" s="1000">
        <f t="shared" si="20"/>
        <v>15527083.333333334</v>
      </c>
      <c r="M64" s="1000">
        <f t="shared" si="20"/>
        <v>15527083.333333334</v>
      </c>
      <c r="N64" s="1000">
        <f t="shared" si="20"/>
        <v>15527083.333333334</v>
      </c>
      <c r="O64" s="1074"/>
      <c r="P64" s="195"/>
    </row>
    <row r="65" spans="1:16" ht="13.5" thickBot="1" x14ac:dyDescent="0.25">
      <c r="A65" s="269" t="s">
        <v>313</v>
      </c>
      <c r="B65" s="1073">
        <f>'14.sz.melléklet'!F19</f>
        <v>3663000</v>
      </c>
      <c r="C65" s="1016"/>
      <c r="D65" s="1016"/>
      <c r="E65" s="1016"/>
      <c r="F65" s="1016"/>
      <c r="G65" s="1016"/>
      <c r="H65" s="1016"/>
      <c r="I65" s="1016"/>
      <c r="J65" s="1016">
        <v>3663000</v>
      </c>
      <c r="K65" s="1016"/>
      <c r="L65" s="1016"/>
      <c r="M65" s="1016"/>
      <c r="N65" s="1016"/>
      <c r="O65" s="1074"/>
      <c r="P65" s="195"/>
    </row>
    <row r="66" spans="1:16" ht="13.5" thickBot="1" x14ac:dyDescent="0.25">
      <c r="A66" s="47" t="s">
        <v>45</v>
      </c>
      <c r="B66" s="1013">
        <f>SUM(B64:B65)</f>
        <v>189988000</v>
      </c>
      <c r="C66" s="1014">
        <f>SUM(C64:C65)</f>
        <v>15527083.333333334</v>
      </c>
      <c r="D66" s="1014">
        <f t="shared" ref="D66:N66" si="21">SUM(D64:D65)</f>
        <v>15527083.333333334</v>
      </c>
      <c r="E66" s="1014">
        <f t="shared" si="21"/>
        <v>15527083.333333334</v>
      </c>
      <c r="F66" s="1014">
        <f t="shared" si="21"/>
        <v>15527083.333333334</v>
      </c>
      <c r="G66" s="1014">
        <f t="shared" si="21"/>
        <v>15527083.333333334</v>
      </c>
      <c r="H66" s="1014">
        <f t="shared" si="21"/>
        <v>15527083.333333334</v>
      </c>
      <c r="I66" s="1014">
        <f t="shared" si="21"/>
        <v>15527083.333333334</v>
      </c>
      <c r="J66" s="1014">
        <f t="shared" si="21"/>
        <v>19190083.333333336</v>
      </c>
      <c r="K66" s="1014">
        <f t="shared" si="21"/>
        <v>15527083.333333334</v>
      </c>
      <c r="L66" s="1014">
        <f t="shared" si="21"/>
        <v>15527083.333333334</v>
      </c>
      <c r="M66" s="1014">
        <f t="shared" si="21"/>
        <v>15527083.333333334</v>
      </c>
      <c r="N66" s="1014">
        <f t="shared" si="21"/>
        <v>15527083.333333334</v>
      </c>
      <c r="O66" s="1074"/>
      <c r="P66" s="195"/>
    </row>
    <row r="67" spans="1:16" ht="13.5" thickBot="1" x14ac:dyDescent="0.25">
      <c r="A67" s="48"/>
      <c r="B67" s="1015"/>
      <c r="C67" s="1016"/>
      <c r="D67" s="1016"/>
      <c r="E67" s="1016"/>
      <c r="F67" s="1016"/>
      <c r="G67" s="1016"/>
      <c r="H67" s="1016"/>
      <c r="I67" s="1016"/>
      <c r="J67" s="1016"/>
      <c r="K67" s="1016"/>
      <c r="L67" s="1016"/>
      <c r="M67" s="1016"/>
      <c r="N67" s="1015"/>
      <c r="O67" s="1074"/>
      <c r="P67" s="195"/>
    </row>
    <row r="68" spans="1:16" ht="13.5" thickBot="1" x14ac:dyDescent="0.25">
      <c r="A68" s="47" t="s">
        <v>46</v>
      </c>
      <c r="B68" s="1017">
        <f>B66-B60</f>
        <v>0</v>
      </c>
      <c r="C68" s="1018">
        <f t="shared" ref="C68:N68" si="22">C60-C66</f>
        <v>105250</v>
      </c>
      <c r="D68" s="1018">
        <f t="shared" si="22"/>
        <v>-94800</v>
      </c>
      <c r="E68" s="1018">
        <f t="shared" si="22"/>
        <v>305200</v>
      </c>
      <c r="F68" s="1018">
        <f t="shared" si="22"/>
        <v>-94800</v>
      </c>
      <c r="G68" s="1018">
        <f t="shared" si="22"/>
        <v>1905250.0000000019</v>
      </c>
      <c r="H68" s="1018">
        <f t="shared" si="22"/>
        <v>305250</v>
      </c>
      <c r="I68" s="1018">
        <f t="shared" si="22"/>
        <v>106010</v>
      </c>
      <c r="J68" s="1018">
        <f t="shared" si="22"/>
        <v>-3357800.0000000019</v>
      </c>
      <c r="K68" s="1018">
        <f t="shared" si="22"/>
        <v>-95160</v>
      </c>
      <c r="L68" s="1018">
        <f t="shared" si="22"/>
        <v>305200</v>
      </c>
      <c r="M68" s="1018">
        <f t="shared" si="22"/>
        <v>305200</v>
      </c>
      <c r="N68" s="1017">
        <f t="shared" si="22"/>
        <v>305200</v>
      </c>
      <c r="O68" s="1074"/>
      <c r="P68" s="195"/>
    </row>
    <row r="69" spans="1:16" x14ac:dyDescent="0.2">
      <c r="A69" s="132" t="s">
        <v>74</v>
      </c>
      <c r="B69" s="195"/>
      <c r="C69" s="631">
        <f>C60-C66</f>
        <v>105250</v>
      </c>
      <c r="D69" s="631">
        <f t="shared" ref="D69:N69" si="23">C69+D60-D66</f>
        <v>10450</v>
      </c>
      <c r="E69" s="631">
        <f t="shared" si="23"/>
        <v>315650</v>
      </c>
      <c r="F69" s="631">
        <f t="shared" si="23"/>
        <v>220850</v>
      </c>
      <c r="G69" s="631">
        <f t="shared" si="23"/>
        <v>2126100.0000000019</v>
      </c>
      <c r="H69" s="631">
        <f t="shared" si="23"/>
        <v>2431350.0000000019</v>
      </c>
      <c r="I69" s="631">
        <f t="shared" si="23"/>
        <v>2537360.0000000019</v>
      </c>
      <c r="J69" s="631">
        <f t="shared" si="23"/>
        <v>-820440</v>
      </c>
      <c r="K69" s="631">
        <f t="shared" si="23"/>
        <v>-915600</v>
      </c>
      <c r="L69" s="631">
        <f t="shared" si="23"/>
        <v>-610400</v>
      </c>
      <c r="M69" s="631">
        <f t="shared" si="23"/>
        <v>-305200</v>
      </c>
      <c r="N69" s="1019">
        <f t="shared" si="23"/>
        <v>0</v>
      </c>
      <c r="O69" s="1074"/>
      <c r="P69" s="195"/>
    </row>
    <row r="70" spans="1:16" x14ac:dyDescent="0.2">
      <c r="A70" s="168"/>
      <c r="B70" s="219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20"/>
      <c r="O70" s="1074"/>
      <c r="P70" s="195"/>
    </row>
    <row r="71" spans="1:16" ht="13.5" thickBot="1" x14ac:dyDescent="0.25">
      <c r="A71" s="170" t="s">
        <v>639</v>
      </c>
      <c r="B71" s="171"/>
      <c r="C71" s="172"/>
      <c r="D71" s="172"/>
      <c r="E71" s="172"/>
      <c r="F71" s="171"/>
      <c r="G71" s="173"/>
      <c r="H71" s="173"/>
      <c r="I71" s="174"/>
      <c r="J71" s="175"/>
      <c r="K71" s="175" t="s">
        <v>490</v>
      </c>
      <c r="L71" s="176"/>
      <c r="M71" s="175"/>
      <c r="N71" s="177"/>
      <c r="O71" s="1074"/>
      <c r="P71" s="195"/>
    </row>
    <row r="72" spans="1:16" x14ac:dyDescent="0.2">
      <c r="A72" s="31" t="s">
        <v>32</v>
      </c>
      <c r="B72" s="34" t="s">
        <v>0</v>
      </c>
      <c r="C72" s="32" t="s">
        <v>33</v>
      </c>
      <c r="D72" s="32" t="s">
        <v>34</v>
      </c>
      <c r="E72" s="32" t="s">
        <v>35</v>
      </c>
      <c r="F72" s="32" t="s">
        <v>36</v>
      </c>
      <c r="G72" s="32" t="s">
        <v>37</v>
      </c>
      <c r="H72" s="32" t="s">
        <v>38</v>
      </c>
      <c r="I72" s="32" t="s">
        <v>39</v>
      </c>
      <c r="J72" s="32" t="s">
        <v>47</v>
      </c>
      <c r="K72" s="33" t="s">
        <v>48</v>
      </c>
      <c r="L72" s="32" t="s">
        <v>49</v>
      </c>
      <c r="M72" s="32" t="s">
        <v>50</v>
      </c>
      <c r="N72" s="34" t="s">
        <v>51</v>
      </c>
      <c r="O72" s="1074"/>
      <c r="P72" s="195"/>
    </row>
    <row r="73" spans="1:16" ht="13.5" thickBot="1" x14ac:dyDescent="0.25">
      <c r="A73" s="35" t="s">
        <v>40</v>
      </c>
      <c r="B73" s="37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7"/>
      <c r="O73" s="1074"/>
      <c r="P73" s="195"/>
    </row>
    <row r="74" spans="1:16" ht="7.5" customHeight="1" x14ac:dyDescent="0.2">
      <c r="A74" s="38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40"/>
      <c r="O74" s="1074"/>
      <c r="P74" s="195"/>
    </row>
    <row r="75" spans="1:16" x14ac:dyDescent="0.2">
      <c r="A75" s="41" t="s">
        <v>292</v>
      </c>
      <c r="B75" s="999">
        <f>'15.sz.melléklet'!C30</f>
        <v>6835000</v>
      </c>
      <c r="C75" s="1000">
        <f>$B75/12</f>
        <v>569583.33333333337</v>
      </c>
      <c r="D75" s="1000">
        <f t="shared" ref="D75:N75" si="24">$B75/12</f>
        <v>569583.33333333337</v>
      </c>
      <c r="E75" s="1000">
        <f t="shared" si="24"/>
        <v>569583.33333333337</v>
      </c>
      <c r="F75" s="1000">
        <f t="shared" si="24"/>
        <v>569583.33333333337</v>
      </c>
      <c r="G75" s="1000">
        <f t="shared" si="24"/>
        <v>569583.33333333337</v>
      </c>
      <c r="H75" s="1000">
        <f t="shared" si="24"/>
        <v>569583.33333333337</v>
      </c>
      <c r="I75" s="1000">
        <f t="shared" si="24"/>
        <v>569583.33333333337</v>
      </c>
      <c r="J75" s="1000">
        <f t="shared" si="24"/>
        <v>569583.33333333337</v>
      </c>
      <c r="K75" s="1000">
        <f t="shared" si="24"/>
        <v>569583.33333333337</v>
      </c>
      <c r="L75" s="1000">
        <f t="shared" si="24"/>
        <v>569583.33333333337</v>
      </c>
      <c r="M75" s="1000">
        <f t="shared" si="24"/>
        <v>569583.33333333337</v>
      </c>
      <c r="N75" s="1010">
        <f t="shared" si="24"/>
        <v>569583.33333333337</v>
      </c>
      <c r="O75" s="1074"/>
      <c r="P75" s="195"/>
    </row>
    <row r="76" spans="1:16" x14ac:dyDescent="0.2">
      <c r="A76" s="41" t="s">
        <v>296</v>
      </c>
      <c r="B76" s="1001">
        <f>'15.sz.melléklet'!D30</f>
        <v>61764000</v>
      </c>
      <c r="C76" s="1002">
        <f>$B$76/12</f>
        <v>5147000</v>
      </c>
      <c r="D76" s="1002">
        <f t="shared" ref="D76:M76" si="25">$B$76/12</f>
        <v>5147000</v>
      </c>
      <c r="E76" s="1002">
        <f t="shared" si="25"/>
        <v>5147000</v>
      </c>
      <c r="F76" s="1002">
        <f>$B$76/12</f>
        <v>5147000</v>
      </c>
      <c r="G76" s="1002">
        <f>$B$76/12+1300</f>
        <v>5148300</v>
      </c>
      <c r="H76" s="1002">
        <f t="shared" si="25"/>
        <v>5147000</v>
      </c>
      <c r="I76" s="1002">
        <f t="shared" si="25"/>
        <v>5147000</v>
      </c>
      <c r="J76" s="1002">
        <f>$B$76/12-500</f>
        <v>5146500</v>
      </c>
      <c r="K76" s="1002">
        <f t="shared" si="25"/>
        <v>5147000</v>
      </c>
      <c r="L76" s="1002">
        <f>$B$76/12-400</f>
        <v>5146600</v>
      </c>
      <c r="M76" s="1002">
        <f t="shared" si="25"/>
        <v>5147000</v>
      </c>
      <c r="N76" s="1003">
        <f>$B$76/12-400</f>
        <v>5146600</v>
      </c>
      <c r="O76" s="1074"/>
      <c r="P76" s="195"/>
    </row>
    <row r="77" spans="1:16" ht="13.5" thickBot="1" x14ac:dyDescent="0.25">
      <c r="A77" s="1075" t="s">
        <v>509</v>
      </c>
      <c r="B77" s="1067">
        <f>SUM('15.sz.melléklet'!E30)</f>
        <v>1300000</v>
      </c>
      <c r="C77" s="1005"/>
      <c r="D77" s="1005"/>
      <c r="E77" s="1005"/>
      <c r="F77" s="1005"/>
      <c r="G77" s="1005"/>
      <c r="H77" s="1005"/>
      <c r="I77" s="1005"/>
      <c r="J77" s="1005">
        <v>1300000</v>
      </c>
      <c r="K77" s="1005"/>
      <c r="L77" s="1005"/>
      <c r="M77" s="1005"/>
      <c r="N77" s="1067"/>
      <c r="O77" s="1074"/>
      <c r="P77" s="195"/>
    </row>
    <row r="78" spans="1:16" ht="13.5" thickBot="1" x14ac:dyDescent="0.25">
      <c r="A78" s="43" t="s">
        <v>19</v>
      </c>
      <c r="B78" s="1006">
        <f t="shared" ref="B78:N78" si="26">SUM(B75:B77)</f>
        <v>69899000</v>
      </c>
      <c r="C78" s="1007">
        <f t="shared" si="26"/>
        <v>5716583.333333333</v>
      </c>
      <c r="D78" s="1007">
        <f t="shared" si="26"/>
        <v>5716583.333333333</v>
      </c>
      <c r="E78" s="1007">
        <f t="shared" si="26"/>
        <v>5716583.333333333</v>
      </c>
      <c r="F78" s="1007">
        <f t="shared" si="26"/>
        <v>5716583.333333333</v>
      </c>
      <c r="G78" s="1007">
        <f t="shared" si="26"/>
        <v>5717883.333333333</v>
      </c>
      <c r="H78" s="1007">
        <f t="shared" si="26"/>
        <v>5716583.333333333</v>
      </c>
      <c r="I78" s="1007">
        <f t="shared" si="26"/>
        <v>5716583.333333333</v>
      </c>
      <c r="J78" s="1007">
        <f t="shared" si="26"/>
        <v>7016083.333333333</v>
      </c>
      <c r="K78" s="1007">
        <f t="shared" si="26"/>
        <v>5716583.333333333</v>
      </c>
      <c r="L78" s="1007">
        <f t="shared" si="26"/>
        <v>5716183.333333333</v>
      </c>
      <c r="M78" s="1007">
        <f t="shared" si="26"/>
        <v>5716583.333333333</v>
      </c>
      <c r="N78" s="1006">
        <f t="shared" si="26"/>
        <v>5716183.333333333</v>
      </c>
      <c r="O78" s="1074"/>
      <c r="P78" s="195"/>
    </row>
    <row r="79" spans="1:16" x14ac:dyDescent="0.2">
      <c r="A79" s="44"/>
      <c r="B79" s="1008"/>
      <c r="C79" s="1009"/>
      <c r="D79" s="1009"/>
      <c r="E79" s="1009"/>
      <c r="F79" s="1009"/>
      <c r="G79" s="1009"/>
      <c r="H79" s="1009"/>
      <c r="I79" s="1009"/>
      <c r="J79" s="1009"/>
      <c r="K79" s="1009"/>
      <c r="L79" s="1009"/>
      <c r="M79" s="1009"/>
      <c r="N79" s="1008"/>
      <c r="O79" s="1074"/>
      <c r="P79" s="195"/>
    </row>
    <row r="80" spans="1:16" x14ac:dyDescent="0.2">
      <c r="A80" s="45" t="s">
        <v>41</v>
      </c>
      <c r="B80" s="1010"/>
      <c r="C80" s="1000"/>
      <c r="D80" s="1000"/>
      <c r="E80" s="1000"/>
      <c r="F80" s="1000"/>
      <c r="G80" s="1000"/>
      <c r="H80" s="1000"/>
      <c r="I80" s="1000"/>
      <c r="J80" s="1000"/>
      <c r="K80" s="1000"/>
      <c r="L80" s="1000"/>
      <c r="M80" s="1000"/>
      <c r="N80" s="1010"/>
      <c r="O80" s="1074"/>
      <c r="P80" s="195"/>
    </row>
    <row r="81" spans="1:16" ht="6" customHeight="1" x14ac:dyDescent="0.2">
      <c r="A81" s="45"/>
      <c r="B81" s="1010"/>
      <c r="C81" s="1000"/>
      <c r="D81" s="1000"/>
      <c r="E81" s="1000"/>
      <c r="F81" s="1000"/>
      <c r="G81" s="1000"/>
      <c r="H81" s="1000"/>
      <c r="I81" s="1000"/>
      <c r="J81" s="1000"/>
      <c r="K81" s="1000"/>
      <c r="L81" s="1000"/>
      <c r="M81" s="1000"/>
      <c r="N81" s="1010"/>
      <c r="O81" s="1074"/>
      <c r="P81" s="195"/>
    </row>
    <row r="82" spans="1:16" x14ac:dyDescent="0.2">
      <c r="A82" s="41" t="s">
        <v>313</v>
      </c>
      <c r="B82" s="999">
        <f>SUM('1.sz. melléklet'!H23)</f>
        <v>4590000</v>
      </c>
      <c r="C82" s="1000"/>
      <c r="D82" s="1000">
        <f>SUM('15.a.sz.melléklet'!H11)+109000</f>
        <v>909000</v>
      </c>
      <c r="E82" s="1000"/>
      <c r="F82" s="1000"/>
      <c r="G82" s="1000"/>
      <c r="H82" s="1000">
        <v>2463000</v>
      </c>
      <c r="I82" s="1000"/>
      <c r="J82" s="1000">
        <f>218000+1000000</f>
        <v>1218000</v>
      </c>
      <c r="K82" s="1000"/>
      <c r="L82" s="1000"/>
      <c r="M82" s="1000"/>
      <c r="N82" s="1000"/>
      <c r="O82" s="1074"/>
      <c r="P82" s="195"/>
    </row>
    <row r="83" spans="1:16" ht="13.5" thickBot="1" x14ac:dyDescent="0.25">
      <c r="A83" s="41" t="s">
        <v>42</v>
      </c>
      <c r="B83" s="999">
        <f>SUM(B78-B82)</f>
        <v>65309000</v>
      </c>
      <c r="C83" s="1000">
        <f>$B$83/12</f>
        <v>5442416.666666667</v>
      </c>
      <c r="D83" s="1000">
        <f t="shared" ref="D83:N83" si="27">$B$83/12</f>
        <v>5442416.666666667</v>
      </c>
      <c r="E83" s="1000">
        <f t="shared" si="27"/>
        <v>5442416.666666667</v>
      </c>
      <c r="F83" s="1000">
        <f t="shared" si="27"/>
        <v>5442416.666666667</v>
      </c>
      <c r="G83" s="1000">
        <f t="shared" si="27"/>
        <v>5442416.666666667</v>
      </c>
      <c r="H83" s="1000">
        <f t="shared" si="27"/>
        <v>5442416.666666667</v>
      </c>
      <c r="I83" s="1000">
        <f t="shared" si="27"/>
        <v>5442416.666666667</v>
      </c>
      <c r="J83" s="1000">
        <f t="shared" si="27"/>
        <v>5442416.666666667</v>
      </c>
      <c r="K83" s="1000">
        <f t="shared" si="27"/>
        <v>5442416.666666667</v>
      </c>
      <c r="L83" s="1000">
        <f t="shared" si="27"/>
        <v>5442416.666666667</v>
      </c>
      <c r="M83" s="1000">
        <f t="shared" si="27"/>
        <v>5442416.666666667</v>
      </c>
      <c r="N83" s="1010">
        <f t="shared" si="27"/>
        <v>5442416.666666667</v>
      </c>
      <c r="O83" s="1074"/>
      <c r="P83" s="195"/>
    </row>
    <row r="84" spans="1:16" ht="13.5" thickBot="1" x14ac:dyDescent="0.25">
      <c r="A84" s="47" t="s">
        <v>45</v>
      </c>
      <c r="B84" s="1013">
        <f>SUM(B82:B83)</f>
        <v>69899000</v>
      </c>
      <c r="C84" s="1014">
        <f>SUM(C82:C83)</f>
        <v>5442416.666666667</v>
      </c>
      <c r="D84" s="1014">
        <f t="shared" ref="D84:N84" si="28">SUM(D82:D83)</f>
        <v>6351416.666666667</v>
      </c>
      <c r="E84" s="1014">
        <f t="shared" si="28"/>
        <v>5442416.666666667</v>
      </c>
      <c r="F84" s="1014">
        <f t="shared" si="28"/>
        <v>5442416.666666667</v>
      </c>
      <c r="G84" s="1014">
        <f t="shared" si="28"/>
        <v>5442416.666666667</v>
      </c>
      <c r="H84" s="1014">
        <f t="shared" si="28"/>
        <v>7905416.666666667</v>
      </c>
      <c r="I84" s="1014">
        <f t="shared" si="28"/>
        <v>5442416.666666667</v>
      </c>
      <c r="J84" s="1014">
        <f t="shared" si="28"/>
        <v>6660416.666666667</v>
      </c>
      <c r="K84" s="1014">
        <f t="shared" si="28"/>
        <v>5442416.666666667</v>
      </c>
      <c r="L84" s="1014">
        <f t="shared" si="28"/>
        <v>5442416.666666667</v>
      </c>
      <c r="M84" s="1014">
        <f t="shared" si="28"/>
        <v>5442416.666666667</v>
      </c>
      <c r="N84" s="1014">
        <f t="shared" si="28"/>
        <v>5442416.666666667</v>
      </c>
      <c r="O84" s="1074"/>
      <c r="P84" s="195"/>
    </row>
    <row r="85" spans="1:16" ht="13.5" thickBot="1" x14ac:dyDescent="0.25">
      <c r="A85" s="48"/>
      <c r="B85" s="1015"/>
      <c r="C85" s="1016"/>
      <c r="D85" s="1016"/>
      <c r="E85" s="1016"/>
      <c r="F85" s="1016"/>
      <c r="G85" s="1016"/>
      <c r="H85" s="1016"/>
      <c r="I85" s="1016"/>
      <c r="J85" s="1016"/>
      <c r="K85" s="1016"/>
      <c r="L85" s="1016"/>
      <c r="M85" s="1016"/>
      <c r="N85" s="1015"/>
      <c r="O85" s="1074"/>
      <c r="P85" s="195"/>
    </row>
    <row r="86" spans="1:16" ht="13.5" thickBot="1" x14ac:dyDescent="0.25">
      <c r="A86" s="47" t="s">
        <v>46</v>
      </c>
      <c r="B86" s="1017">
        <f>B84-B78</f>
        <v>0</v>
      </c>
      <c r="C86" s="1018">
        <f t="shared" ref="C86:N86" si="29">C78-C84</f>
        <v>274166.66666666605</v>
      </c>
      <c r="D86" s="1018">
        <f t="shared" si="29"/>
        <v>-634833.33333333395</v>
      </c>
      <c r="E86" s="1018">
        <f t="shared" si="29"/>
        <v>274166.66666666605</v>
      </c>
      <c r="F86" s="1018">
        <f t="shared" si="29"/>
        <v>274166.66666666605</v>
      </c>
      <c r="G86" s="1018">
        <f t="shared" si="29"/>
        <v>275466.66666666605</v>
      </c>
      <c r="H86" s="1018">
        <f t="shared" si="29"/>
        <v>-2188833.333333334</v>
      </c>
      <c r="I86" s="1018">
        <f t="shared" si="29"/>
        <v>274166.66666666605</v>
      </c>
      <c r="J86" s="1018">
        <f t="shared" si="29"/>
        <v>355666.66666666605</v>
      </c>
      <c r="K86" s="1018">
        <f t="shared" si="29"/>
        <v>274166.66666666605</v>
      </c>
      <c r="L86" s="1018">
        <f t="shared" si="29"/>
        <v>273766.66666666605</v>
      </c>
      <c r="M86" s="1018">
        <f t="shared" si="29"/>
        <v>274166.66666666605</v>
      </c>
      <c r="N86" s="1017">
        <f t="shared" si="29"/>
        <v>273766.66666666605</v>
      </c>
      <c r="O86" s="1074"/>
      <c r="P86" s="195"/>
    </row>
    <row r="87" spans="1:16" x14ac:dyDescent="0.2">
      <c r="A87" s="132" t="s">
        <v>74</v>
      </c>
      <c r="B87" s="195"/>
      <c r="C87" s="631">
        <f>C78-C84</f>
        <v>274166.66666666605</v>
      </c>
      <c r="D87" s="631">
        <f t="shared" ref="D87:N87" si="30">C87+D78-D84</f>
        <v>-360666.66666666791</v>
      </c>
      <c r="E87" s="631">
        <f t="shared" si="30"/>
        <v>-86500.000000001863</v>
      </c>
      <c r="F87" s="631">
        <f t="shared" si="30"/>
        <v>187666.66666666418</v>
      </c>
      <c r="G87" s="631">
        <f t="shared" si="30"/>
        <v>463133.33333333023</v>
      </c>
      <c r="H87" s="631">
        <f t="shared" si="30"/>
        <v>-1725700.0000000037</v>
      </c>
      <c r="I87" s="631">
        <f t="shared" si="30"/>
        <v>-1451533.3333333377</v>
      </c>
      <c r="J87" s="631">
        <f t="shared" si="30"/>
        <v>-1095866.6666666716</v>
      </c>
      <c r="K87" s="631">
        <f t="shared" si="30"/>
        <v>-821700.00000000559</v>
      </c>
      <c r="L87" s="631">
        <f t="shared" si="30"/>
        <v>-547933.33333333954</v>
      </c>
      <c r="M87" s="631">
        <f t="shared" si="30"/>
        <v>-273766.6666666735</v>
      </c>
      <c r="N87" s="1019">
        <f t="shared" si="30"/>
        <v>-7.4505805969238281E-9</v>
      </c>
      <c r="O87" s="1074"/>
      <c r="P87" s="195"/>
    </row>
    <row r="88" spans="1:16" ht="6" customHeight="1" x14ac:dyDescent="0.2">
      <c r="A88" s="132"/>
      <c r="B88" s="195"/>
      <c r="C88" s="195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205"/>
      <c r="O88" s="1074"/>
      <c r="P88" s="195"/>
    </row>
    <row r="89" spans="1:16" ht="13.5" thickBot="1" x14ac:dyDescent="0.25">
      <c r="A89" s="170" t="s">
        <v>135</v>
      </c>
      <c r="B89" s="171"/>
      <c r="C89" s="172"/>
      <c r="D89" s="172"/>
      <c r="E89" s="172"/>
      <c r="F89" s="171"/>
      <c r="G89" s="173"/>
      <c r="H89" s="173"/>
      <c r="I89" s="174"/>
      <c r="J89" s="175"/>
      <c r="K89" s="175" t="s">
        <v>490</v>
      </c>
      <c r="L89" s="176"/>
      <c r="M89" s="175"/>
      <c r="N89" s="177"/>
      <c r="O89" s="1074"/>
      <c r="P89" s="195"/>
    </row>
    <row r="90" spans="1:16" x14ac:dyDescent="0.2">
      <c r="A90" s="31" t="s">
        <v>32</v>
      </c>
      <c r="B90" s="34" t="s">
        <v>0</v>
      </c>
      <c r="C90" s="32" t="s">
        <v>33</v>
      </c>
      <c r="D90" s="32" t="s">
        <v>34</v>
      </c>
      <c r="E90" s="32" t="s">
        <v>35</v>
      </c>
      <c r="F90" s="32" t="s">
        <v>36</v>
      </c>
      <c r="G90" s="32" t="s">
        <v>37</v>
      </c>
      <c r="H90" s="32" t="s">
        <v>38</v>
      </c>
      <c r="I90" s="32" t="s">
        <v>39</v>
      </c>
      <c r="J90" s="32" t="s">
        <v>47</v>
      </c>
      <c r="K90" s="33" t="s">
        <v>48</v>
      </c>
      <c r="L90" s="32" t="s">
        <v>49</v>
      </c>
      <c r="M90" s="32" t="s">
        <v>50</v>
      </c>
      <c r="N90" s="34" t="s">
        <v>51</v>
      </c>
      <c r="O90" s="1074"/>
      <c r="P90" s="195"/>
    </row>
    <row r="91" spans="1:16" ht="13.5" thickBot="1" x14ac:dyDescent="0.25">
      <c r="A91" s="35" t="s">
        <v>40</v>
      </c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7"/>
      <c r="O91" s="1074"/>
      <c r="P91" s="195"/>
    </row>
    <row r="92" spans="1:16" x14ac:dyDescent="0.2">
      <c r="A92" s="38"/>
      <c r="B92" s="40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40"/>
      <c r="O92" s="1074"/>
      <c r="P92" s="195"/>
    </row>
    <row r="93" spans="1:16" x14ac:dyDescent="0.2">
      <c r="A93" s="41" t="s">
        <v>292</v>
      </c>
      <c r="B93" s="999">
        <f>'16.sz. melléklet'!C33</f>
        <v>481000</v>
      </c>
      <c r="C93" s="1000">
        <f>$B93/12</f>
        <v>40083.333333333336</v>
      </c>
      <c r="D93" s="1000">
        <f t="shared" ref="D93:N93" si="31">$B93/12</f>
        <v>40083.333333333336</v>
      </c>
      <c r="E93" s="1000">
        <f t="shared" si="31"/>
        <v>40083.333333333336</v>
      </c>
      <c r="F93" s="1000">
        <f t="shared" si="31"/>
        <v>40083.333333333336</v>
      </c>
      <c r="G93" s="1000">
        <f t="shared" si="31"/>
        <v>40083.333333333336</v>
      </c>
      <c r="H93" s="1000">
        <f t="shared" si="31"/>
        <v>40083.333333333336</v>
      </c>
      <c r="I93" s="1000">
        <f t="shared" si="31"/>
        <v>40083.333333333336</v>
      </c>
      <c r="J93" s="1000">
        <f t="shared" si="31"/>
        <v>40083.333333333336</v>
      </c>
      <c r="K93" s="1000">
        <f t="shared" si="31"/>
        <v>40083.333333333336</v>
      </c>
      <c r="L93" s="1000">
        <f t="shared" si="31"/>
        <v>40083.333333333336</v>
      </c>
      <c r="M93" s="1000">
        <f t="shared" si="31"/>
        <v>40083.333333333336</v>
      </c>
      <c r="N93" s="1010">
        <f t="shared" si="31"/>
        <v>40083.333333333336</v>
      </c>
      <c r="O93" s="1074"/>
      <c r="P93" s="195"/>
    </row>
    <row r="94" spans="1:16" x14ac:dyDescent="0.2">
      <c r="A94" s="41" t="s">
        <v>296</v>
      </c>
      <c r="B94" s="1001">
        <f>'16.sz. melléklet'!D33</f>
        <v>78423000</v>
      </c>
      <c r="C94" s="1002">
        <f>$B94/12</f>
        <v>6535250</v>
      </c>
      <c r="D94" s="1002">
        <f t="shared" ref="D94:N94" si="32">$B94/12</f>
        <v>6535250</v>
      </c>
      <c r="E94" s="1002">
        <f t="shared" si="32"/>
        <v>6535250</v>
      </c>
      <c r="F94" s="1002">
        <f t="shared" si="32"/>
        <v>6535250</v>
      </c>
      <c r="G94" s="1002">
        <f t="shared" si="32"/>
        <v>6535250</v>
      </c>
      <c r="H94" s="1002">
        <f t="shared" si="32"/>
        <v>6535250</v>
      </c>
      <c r="I94" s="1002">
        <f t="shared" si="32"/>
        <v>6535250</v>
      </c>
      <c r="J94" s="1002">
        <f t="shared" si="32"/>
        <v>6535250</v>
      </c>
      <c r="K94" s="1002">
        <f t="shared" si="32"/>
        <v>6535250</v>
      </c>
      <c r="L94" s="1002">
        <f t="shared" si="32"/>
        <v>6535250</v>
      </c>
      <c r="M94" s="1002">
        <f t="shared" si="32"/>
        <v>6535250</v>
      </c>
      <c r="N94" s="1002">
        <f t="shared" si="32"/>
        <v>6535250</v>
      </c>
      <c r="O94" s="1074"/>
      <c r="P94" s="195"/>
    </row>
    <row r="95" spans="1:16" ht="13.5" thickBot="1" x14ac:dyDescent="0.25">
      <c r="A95" s="42"/>
      <c r="B95" s="1067"/>
      <c r="C95" s="1005"/>
      <c r="D95" s="1005"/>
      <c r="E95" s="1005"/>
      <c r="F95" s="1005"/>
      <c r="G95" s="1005"/>
      <c r="H95" s="1005"/>
      <c r="I95" s="1005"/>
      <c r="J95" s="1005"/>
      <c r="K95" s="1005"/>
      <c r="L95" s="1005"/>
      <c r="M95" s="1005"/>
      <c r="N95" s="1067"/>
      <c r="O95" s="1074"/>
      <c r="P95" s="195"/>
    </row>
    <row r="96" spans="1:16" ht="13.5" thickBot="1" x14ac:dyDescent="0.25">
      <c r="A96" s="43" t="s">
        <v>19</v>
      </c>
      <c r="B96" s="1006">
        <f t="shared" ref="B96:N96" si="33">SUM(B93:B95)</f>
        <v>78904000</v>
      </c>
      <c r="C96" s="1007">
        <f t="shared" si="33"/>
        <v>6575333.333333333</v>
      </c>
      <c r="D96" s="1007">
        <f t="shared" si="33"/>
        <v>6575333.333333333</v>
      </c>
      <c r="E96" s="1007">
        <f t="shared" si="33"/>
        <v>6575333.333333333</v>
      </c>
      <c r="F96" s="1007">
        <f t="shared" si="33"/>
        <v>6575333.333333333</v>
      </c>
      <c r="G96" s="1007">
        <f t="shared" si="33"/>
        <v>6575333.333333333</v>
      </c>
      <c r="H96" s="1007">
        <f t="shared" si="33"/>
        <v>6575333.333333333</v>
      </c>
      <c r="I96" s="1007">
        <f t="shared" si="33"/>
        <v>6575333.333333333</v>
      </c>
      <c r="J96" s="1007">
        <f t="shared" si="33"/>
        <v>6575333.333333333</v>
      </c>
      <c r="K96" s="1007">
        <f t="shared" si="33"/>
        <v>6575333.333333333</v>
      </c>
      <c r="L96" s="1007">
        <f t="shared" si="33"/>
        <v>6575333.333333333</v>
      </c>
      <c r="M96" s="1007">
        <f t="shared" si="33"/>
        <v>6575333.333333333</v>
      </c>
      <c r="N96" s="1006">
        <f t="shared" si="33"/>
        <v>6575333.333333333</v>
      </c>
      <c r="O96" s="1074"/>
      <c r="P96" s="195"/>
    </row>
    <row r="97" spans="1:16" ht="6.75" customHeight="1" x14ac:dyDescent="0.2">
      <c r="A97" s="44"/>
      <c r="B97" s="1008"/>
      <c r="C97" s="1009"/>
      <c r="D97" s="1009"/>
      <c r="E97" s="1009"/>
      <c r="F97" s="1009"/>
      <c r="G97" s="1009"/>
      <c r="H97" s="1009"/>
      <c r="I97" s="1009"/>
      <c r="J97" s="1009"/>
      <c r="K97" s="1009"/>
      <c r="L97" s="1009"/>
      <c r="M97" s="1009"/>
      <c r="N97" s="1008"/>
      <c r="O97" s="1074"/>
      <c r="P97" s="195"/>
    </row>
    <row r="98" spans="1:16" x14ac:dyDescent="0.2">
      <c r="A98" s="45" t="s">
        <v>41</v>
      </c>
      <c r="B98" s="1010"/>
      <c r="C98" s="1000"/>
      <c r="D98" s="1000"/>
      <c r="E98" s="1000"/>
      <c r="F98" s="1000"/>
      <c r="G98" s="1000"/>
      <c r="H98" s="1000"/>
      <c r="I98" s="1000"/>
      <c r="J98" s="1000"/>
      <c r="K98" s="1000"/>
      <c r="L98" s="1000"/>
      <c r="M98" s="1000"/>
      <c r="N98" s="1010"/>
      <c r="O98" s="1074"/>
      <c r="P98" s="195"/>
    </row>
    <row r="99" spans="1:16" ht="2.25" customHeight="1" x14ac:dyDescent="0.2">
      <c r="A99" s="45"/>
      <c r="B99" s="1010"/>
      <c r="C99" s="1000"/>
      <c r="D99" s="1000"/>
      <c r="E99" s="1000"/>
      <c r="F99" s="1000"/>
      <c r="G99" s="1000"/>
      <c r="H99" s="1000"/>
      <c r="I99" s="1000"/>
      <c r="J99" s="1000"/>
      <c r="K99" s="1000"/>
      <c r="L99" s="1000"/>
      <c r="M99" s="1000"/>
      <c r="N99" s="1010"/>
      <c r="O99" s="1074"/>
      <c r="P99" s="195"/>
    </row>
    <row r="100" spans="1:16" ht="13.5" customHeight="1" x14ac:dyDescent="0.2">
      <c r="A100" s="41" t="s">
        <v>313</v>
      </c>
      <c r="B100" s="999">
        <f>SUM('1.sz. melléklet'!J23)</f>
        <v>2920000</v>
      </c>
      <c r="C100" s="1000"/>
      <c r="D100" s="1000"/>
      <c r="E100" s="1000">
        <f>SUM('16.a.sz. melléklet'!H7+'16.a.sz. melléklet'!H6)+50000</f>
        <v>220000</v>
      </c>
      <c r="F100" s="1000"/>
      <c r="G100" s="1000"/>
      <c r="H100" s="1000">
        <v>2400000</v>
      </c>
      <c r="I100" s="1000"/>
      <c r="J100" s="1000">
        <v>300000</v>
      </c>
      <c r="K100" s="1000"/>
      <c r="L100" s="1000"/>
      <c r="M100" s="1000"/>
      <c r="N100" s="1000"/>
      <c r="O100" s="1074"/>
      <c r="P100" s="195"/>
    </row>
    <row r="101" spans="1:16" ht="13.5" thickBot="1" x14ac:dyDescent="0.25">
      <c r="A101" s="41" t="s">
        <v>42</v>
      </c>
      <c r="B101" s="999">
        <f>SUM(B96-B100)</f>
        <v>75984000</v>
      </c>
      <c r="C101" s="1000">
        <f>$B$101/12</f>
        <v>6332000</v>
      </c>
      <c r="D101" s="1000">
        <f t="shared" ref="D101:N101" si="34">$B$101/12</f>
        <v>6332000</v>
      </c>
      <c r="E101" s="1000">
        <f t="shared" si="34"/>
        <v>6332000</v>
      </c>
      <c r="F101" s="1000">
        <f t="shared" si="34"/>
        <v>6332000</v>
      </c>
      <c r="G101" s="1000">
        <f t="shared" si="34"/>
        <v>6332000</v>
      </c>
      <c r="H101" s="1000">
        <f t="shared" si="34"/>
        <v>6332000</v>
      </c>
      <c r="I101" s="1000">
        <f t="shared" si="34"/>
        <v>6332000</v>
      </c>
      <c r="J101" s="1000">
        <f t="shared" si="34"/>
        <v>6332000</v>
      </c>
      <c r="K101" s="1000">
        <f t="shared" si="34"/>
        <v>6332000</v>
      </c>
      <c r="L101" s="1000">
        <f t="shared" si="34"/>
        <v>6332000</v>
      </c>
      <c r="M101" s="1000">
        <f t="shared" si="34"/>
        <v>6332000</v>
      </c>
      <c r="N101" s="1000">
        <f t="shared" si="34"/>
        <v>6332000</v>
      </c>
      <c r="O101" s="1074"/>
      <c r="P101" s="195"/>
    </row>
    <row r="102" spans="1:16" ht="13.5" thickBot="1" x14ac:dyDescent="0.25">
      <c r="A102" s="47" t="s">
        <v>45</v>
      </c>
      <c r="B102" s="1013">
        <f>SUM(B100:B101)</f>
        <v>78904000</v>
      </c>
      <c r="C102" s="1014">
        <f>SUM(C100:C101)</f>
        <v>6332000</v>
      </c>
      <c r="D102" s="1014">
        <f t="shared" ref="D102:N102" si="35">SUM(D100:D101)</f>
        <v>6332000</v>
      </c>
      <c r="E102" s="1014">
        <f t="shared" si="35"/>
        <v>6552000</v>
      </c>
      <c r="F102" s="1014">
        <f t="shared" si="35"/>
        <v>6332000</v>
      </c>
      <c r="G102" s="1014">
        <f t="shared" si="35"/>
        <v>6332000</v>
      </c>
      <c r="H102" s="1014">
        <f t="shared" si="35"/>
        <v>8732000</v>
      </c>
      <c r="I102" s="1014">
        <f t="shared" si="35"/>
        <v>6332000</v>
      </c>
      <c r="J102" s="1014">
        <f t="shared" si="35"/>
        <v>6632000</v>
      </c>
      <c r="K102" s="1014">
        <f t="shared" si="35"/>
        <v>6332000</v>
      </c>
      <c r="L102" s="1014">
        <f t="shared" si="35"/>
        <v>6332000</v>
      </c>
      <c r="M102" s="1014">
        <f t="shared" si="35"/>
        <v>6332000</v>
      </c>
      <c r="N102" s="1014">
        <f t="shared" si="35"/>
        <v>6332000</v>
      </c>
      <c r="O102" s="1074"/>
      <c r="P102" s="195"/>
    </row>
    <row r="103" spans="1:16" ht="13.5" thickBot="1" x14ac:dyDescent="0.25">
      <c r="A103" s="48"/>
      <c r="B103" s="1015"/>
      <c r="C103" s="1016"/>
      <c r="D103" s="1016"/>
      <c r="E103" s="1016"/>
      <c r="F103" s="1016"/>
      <c r="G103" s="1016"/>
      <c r="H103" s="1016"/>
      <c r="I103" s="1016"/>
      <c r="J103" s="1016"/>
      <c r="K103" s="1016"/>
      <c r="L103" s="1016"/>
      <c r="M103" s="1016"/>
      <c r="N103" s="1015"/>
      <c r="O103" s="1074"/>
      <c r="P103" s="195"/>
    </row>
    <row r="104" spans="1:16" ht="13.5" thickBot="1" x14ac:dyDescent="0.25">
      <c r="A104" s="47" t="s">
        <v>46</v>
      </c>
      <c r="B104" s="1017">
        <f>B102-B96</f>
        <v>0</v>
      </c>
      <c r="C104" s="1018">
        <f t="shared" ref="C104:N104" si="36">C96-C102</f>
        <v>243333.33333333302</v>
      </c>
      <c r="D104" s="1018">
        <f t="shared" si="36"/>
        <v>243333.33333333302</v>
      </c>
      <c r="E104" s="1018">
        <f t="shared" si="36"/>
        <v>23333.333333333023</v>
      </c>
      <c r="F104" s="1018">
        <f t="shared" si="36"/>
        <v>243333.33333333302</v>
      </c>
      <c r="G104" s="1018">
        <f t="shared" si="36"/>
        <v>243333.33333333302</v>
      </c>
      <c r="H104" s="1018">
        <f t="shared" si="36"/>
        <v>-2156666.666666667</v>
      </c>
      <c r="I104" s="1018">
        <f t="shared" si="36"/>
        <v>243333.33333333302</v>
      </c>
      <c r="J104" s="1018">
        <f t="shared" si="36"/>
        <v>-56666.666666666977</v>
      </c>
      <c r="K104" s="1018">
        <f t="shared" si="36"/>
        <v>243333.33333333302</v>
      </c>
      <c r="L104" s="1018">
        <f t="shared" si="36"/>
        <v>243333.33333333302</v>
      </c>
      <c r="M104" s="1018">
        <f t="shared" si="36"/>
        <v>243333.33333333302</v>
      </c>
      <c r="N104" s="1017">
        <f t="shared" si="36"/>
        <v>243333.33333333302</v>
      </c>
      <c r="O104" s="1074"/>
      <c r="P104" s="195"/>
    </row>
    <row r="105" spans="1:16" ht="10.5" customHeight="1" x14ac:dyDescent="0.2">
      <c r="A105" s="132"/>
      <c r="B105" s="195"/>
      <c r="C105" s="631"/>
      <c r="D105" s="631"/>
      <c r="E105" s="631"/>
      <c r="F105" s="631"/>
      <c r="G105" s="631"/>
      <c r="H105" s="631"/>
      <c r="I105" s="631"/>
      <c r="J105" s="631"/>
      <c r="K105" s="631"/>
      <c r="L105" s="631"/>
      <c r="M105" s="631"/>
      <c r="N105" s="1019"/>
      <c r="O105" s="1074"/>
      <c r="P105" s="195"/>
    </row>
    <row r="106" spans="1:16" ht="13.5" thickBot="1" x14ac:dyDescent="0.25">
      <c r="A106" s="178" t="s">
        <v>74</v>
      </c>
      <c r="B106" s="207"/>
      <c r="C106" s="1070">
        <f>C96-C102</f>
        <v>243333.33333333302</v>
      </c>
      <c r="D106" s="1070">
        <f t="shared" ref="D106:N106" si="37">C106+D96-D102</f>
        <v>486666.66666666605</v>
      </c>
      <c r="E106" s="1070">
        <f t="shared" si="37"/>
        <v>509999.99999999907</v>
      </c>
      <c r="F106" s="1070">
        <f t="shared" si="37"/>
        <v>753333.33333333209</v>
      </c>
      <c r="G106" s="1070">
        <f t="shared" si="37"/>
        <v>996666.66666666511</v>
      </c>
      <c r="H106" s="1070">
        <f t="shared" si="37"/>
        <v>-1160000.0000000019</v>
      </c>
      <c r="I106" s="1070">
        <f t="shared" si="37"/>
        <v>-916666.66666666884</v>
      </c>
      <c r="J106" s="1070">
        <f t="shared" si="37"/>
        <v>-973333.33333333582</v>
      </c>
      <c r="K106" s="1070">
        <f t="shared" si="37"/>
        <v>-730000.00000000279</v>
      </c>
      <c r="L106" s="1070">
        <f t="shared" si="37"/>
        <v>-486666.66666666977</v>
      </c>
      <c r="M106" s="1070">
        <f t="shared" si="37"/>
        <v>-243333.33333333675</v>
      </c>
      <c r="N106" s="1035">
        <f t="shared" si="37"/>
        <v>0</v>
      </c>
      <c r="O106" s="1074"/>
      <c r="P106" s="195"/>
    </row>
    <row r="107" spans="1:16" x14ac:dyDescent="0.2"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074"/>
      <c r="P107" s="195"/>
    </row>
    <row r="108" spans="1:16" x14ac:dyDescent="0.2">
      <c r="B108" s="195"/>
      <c r="C108" s="195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1074"/>
      <c r="P108" s="195"/>
    </row>
    <row r="109" spans="1:16" x14ac:dyDescent="0.2">
      <c r="B109" s="195"/>
      <c r="C109" s="195"/>
      <c r="D109" s="195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  <c r="O109" s="1074"/>
      <c r="P109" s="195"/>
    </row>
    <row r="110" spans="1:16" x14ac:dyDescent="0.2"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074"/>
      <c r="P110" s="195"/>
    </row>
    <row r="111" spans="1:16" x14ac:dyDescent="0.2">
      <c r="B111" s="195"/>
      <c r="C111" s="195"/>
      <c r="D111" s="195"/>
      <c r="E111" s="195"/>
      <c r="F111" s="195"/>
      <c r="G111" s="195"/>
      <c r="H111" s="195"/>
      <c r="I111" s="195"/>
      <c r="J111" s="195"/>
      <c r="K111" s="195"/>
      <c r="L111" s="195"/>
      <c r="M111" s="195"/>
      <c r="N111" s="195"/>
      <c r="O111" s="1074"/>
      <c r="P111" s="195"/>
    </row>
    <row r="112" spans="1:16" x14ac:dyDescent="0.2">
      <c r="B112" s="195"/>
      <c r="C112" s="195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074"/>
      <c r="P112" s="195"/>
    </row>
    <row r="113" spans="2:16" x14ac:dyDescent="0.2"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074"/>
      <c r="P113" s="195"/>
    </row>
    <row r="114" spans="2:16" x14ac:dyDescent="0.2">
      <c r="B114" s="195"/>
      <c r="C114" s="195"/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074"/>
      <c r="P114" s="195"/>
    </row>
    <row r="115" spans="2:16" x14ac:dyDescent="0.2"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074"/>
      <c r="P115" s="195"/>
    </row>
    <row r="116" spans="2:16" x14ac:dyDescent="0.2">
      <c r="B116" s="195"/>
      <c r="C116" s="195"/>
      <c r="D116" s="195"/>
      <c r="E116" s="195"/>
      <c r="F116" s="195"/>
      <c r="G116" s="195"/>
      <c r="H116" s="195"/>
      <c r="I116" s="195"/>
      <c r="J116" s="195"/>
      <c r="K116" s="195"/>
      <c r="L116" s="195"/>
      <c r="M116" s="195"/>
      <c r="N116" s="195"/>
      <c r="O116" s="1074"/>
      <c r="P116" s="195"/>
    </row>
    <row r="117" spans="2:16" x14ac:dyDescent="0.2">
      <c r="B117" s="195"/>
      <c r="C117" s="195"/>
      <c r="D117" s="195"/>
      <c r="E117" s="195"/>
      <c r="F117" s="195"/>
      <c r="G117" s="195"/>
      <c r="H117" s="195"/>
      <c r="I117" s="195"/>
      <c r="J117" s="195"/>
      <c r="K117" s="195"/>
      <c r="L117" s="195"/>
      <c r="M117" s="195"/>
      <c r="N117" s="195"/>
      <c r="O117" s="1074"/>
      <c r="P117" s="195"/>
    </row>
    <row r="118" spans="2:16" x14ac:dyDescent="0.2">
      <c r="B118" s="195"/>
      <c r="C118" s="195"/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074"/>
      <c r="P118" s="195"/>
    </row>
    <row r="119" spans="2:16" x14ac:dyDescent="0.2">
      <c r="B119" s="195"/>
      <c r="C119" s="195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074"/>
      <c r="P119" s="195"/>
    </row>
    <row r="120" spans="2:16" x14ac:dyDescent="0.2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  <c r="L120" s="195"/>
      <c r="M120" s="195"/>
      <c r="N120" s="195"/>
      <c r="O120" s="1074"/>
      <c r="P120" s="195"/>
    </row>
    <row r="121" spans="2:16" x14ac:dyDescent="0.2">
      <c r="B121" s="195"/>
      <c r="C121" s="195"/>
      <c r="D121" s="195"/>
      <c r="E121" s="195"/>
      <c r="F121" s="195"/>
      <c r="G121" s="195"/>
      <c r="H121" s="195"/>
      <c r="I121" s="195"/>
      <c r="J121" s="195"/>
      <c r="K121" s="195"/>
      <c r="L121" s="195"/>
      <c r="M121" s="195"/>
      <c r="N121" s="195"/>
      <c r="O121" s="1074"/>
      <c r="P121" s="195"/>
    </row>
    <row r="122" spans="2:16" x14ac:dyDescent="0.2">
      <c r="B122" s="195"/>
      <c r="C122" s="195"/>
      <c r="D122" s="195"/>
      <c r="E122" s="195"/>
      <c r="F122" s="195"/>
      <c r="G122" s="195"/>
      <c r="H122" s="195"/>
      <c r="I122" s="195"/>
      <c r="J122" s="195"/>
      <c r="K122" s="195"/>
      <c r="L122" s="195"/>
      <c r="M122" s="195"/>
      <c r="N122" s="195"/>
      <c r="O122" s="1074"/>
      <c r="P122" s="195"/>
    </row>
    <row r="123" spans="2:16" x14ac:dyDescent="0.2">
      <c r="B123" s="195"/>
      <c r="C123" s="195"/>
      <c r="D123" s="195"/>
      <c r="E123" s="195"/>
      <c r="F123" s="195"/>
      <c r="G123" s="195"/>
      <c r="H123" s="195"/>
      <c r="I123" s="195"/>
      <c r="J123" s="195"/>
      <c r="K123" s="195"/>
      <c r="L123" s="195"/>
      <c r="M123" s="195"/>
      <c r="N123" s="195"/>
      <c r="O123" s="1074"/>
      <c r="P123" s="195"/>
    </row>
    <row r="124" spans="2:16" x14ac:dyDescent="0.2">
      <c r="B124" s="195"/>
      <c r="C124" s="195"/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074"/>
      <c r="P124" s="195"/>
    </row>
    <row r="125" spans="2:16" x14ac:dyDescent="0.2">
      <c r="B125" s="195"/>
      <c r="C125" s="195"/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074"/>
    </row>
    <row r="126" spans="2:16" x14ac:dyDescent="0.2">
      <c r="B126" s="195"/>
      <c r="C126" s="195"/>
      <c r="D126" s="195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1074"/>
    </row>
    <row r="127" spans="2:16" x14ac:dyDescent="0.2">
      <c r="B127" s="195"/>
      <c r="C127" s="195"/>
      <c r="D127" s="195"/>
      <c r="E127" s="195"/>
      <c r="F127" s="195"/>
      <c r="G127" s="195"/>
      <c r="H127" s="195"/>
      <c r="I127" s="195"/>
      <c r="J127" s="195"/>
      <c r="K127" s="195"/>
      <c r="L127" s="195"/>
      <c r="M127" s="195"/>
      <c r="N127" s="195"/>
      <c r="O127" s="1074"/>
    </row>
    <row r="128" spans="2:16" x14ac:dyDescent="0.2">
      <c r="B128" s="195"/>
      <c r="C128" s="195"/>
      <c r="D128" s="195"/>
      <c r="E128" s="195"/>
      <c r="F128" s="195"/>
      <c r="G128" s="195"/>
      <c r="H128" s="195"/>
      <c r="I128" s="195"/>
      <c r="J128" s="195"/>
      <c r="K128" s="195"/>
      <c r="L128" s="195"/>
      <c r="M128" s="195"/>
      <c r="N128" s="195"/>
      <c r="O128" s="1074"/>
    </row>
    <row r="129" spans="2:15" x14ac:dyDescent="0.2">
      <c r="B129" s="195"/>
      <c r="C129" s="195"/>
      <c r="D129" s="195"/>
      <c r="E129" s="195"/>
      <c r="F129" s="195"/>
      <c r="G129" s="195"/>
      <c r="H129" s="195"/>
      <c r="I129" s="195"/>
      <c r="J129" s="195"/>
      <c r="K129" s="195"/>
      <c r="L129" s="195"/>
      <c r="M129" s="195"/>
      <c r="N129" s="195"/>
      <c r="O129" s="1074"/>
    </row>
    <row r="130" spans="2:15" x14ac:dyDescent="0.2">
      <c r="B130" s="195"/>
      <c r="C130" s="195"/>
      <c r="D130" s="195"/>
      <c r="E130" s="195"/>
      <c r="F130" s="195"/>
      <c r="G130" s="195"/>
      <c r="H130" s="195"/>
      <c r="I130" s="195"/>
      <c r="J130" s="195"/>
      <c r="K130" s="195"/>
      <c r="L130" s="195"/>
      <c r="M130" s="195"/>
      <c r="N130" s="195"/>
      <c r="O130" s="1074"/>
    </row>
    <row r="131" spans="2:15" x14ac:dyDescent="0.2">
      <c r="B131" s="195"/>
      <c r="C131" s="195"/>
      <c r="D131" s="195"/>
      <c r="E131" s="195"/>
      <c r="F131" s="195"/>
      <c r="G131" s="195"/>
      <c r="H131" s="195"/>
      <c r="I131" s="195"/>
      <c r="J131" s="195"/>
      <c r="K131" s="195"/>
      <c r="L131" s="195"/>
      <c r="M131" s="195"/>
      <c r="N131" s="195"/>
      <c r="O131" s="1074"/>
    </row>
    <row r="132" spans="2:15" x14ac:dyDescent="0.2">
      <c r="B132" s="195"/>
      <c r="C132" s="195"/>
      <c r="D132" s="195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074"/>
    </row>
    <row r="133" spans="2:15" x14ac:dyDescent="0.2">
      <c r="B133" s="195"/>
      <c r="C133" s="195"/>
      <c r="D133" s="195"/>
      <c r="E133" s="195"/>
      <c r="F133" s="195"/>
      <c r="G133" s="195"/>
      <c r="H133" s="195"/>
      <c r="I133" s="195"/>
      <c r="J133" s="195"/>
      <c r="K133" s="195"/>
      <c r="L133" s="195"/>
      <c r="M133" s="195"/>
      <c r="N133" s="195"/>
      <c r="O133" s="1074"/>
    </row>
    <row r="134" spans="2:15" x14ac:dyDescent="0.2">
      <c r="B134" s="195"/>
      <c r="C134" s="195"/>
      <c r="D134" s="195"/>
      <c r="E134" s="195"/>
      <c r="F134" s="195"/>
      <c r="G134" s="195"/>
      <c r="H134" s="195"/>
      <c r="I134" s="195"/>
      <c r="J134" s="195"/>
      <c r="K134" s="195"/>
      <c r="L134" s="195"/>
      <c r="M134" s="195"/>
      <c r="N134" s="195"/>
      <c r="O134" s="1074"/>
    </row>
    <row r="135" spans="2:15" x14ac:dyDescent="0.2">
      <c r="B135" s="195"/>
      <c r="C135" s="195"/>
      <c r="D135" s="195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1074"/>
    </row>
    <row r="136" spans="2:15" x14ac:dyDescent="0.2">
      <c r="B136" s="195"/>
      <c r="C136" s="195"/>
      <c r="D136" s="195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1074"/>
    </row>
    <row r="137" spans="2:15" x14ac:dyDescent="0.2">
      <c r="B137" s="195"/>
      <c r="C137" s="195"/>
      <c r="D137" s="195"/>
      <c r="E137" s="195"/>
      <c r="F137" s="195"/>
      <c r="G137" s="195"/>
      <c r="H137" s="195"/>
      <c r="I137" s="195"/>
      <c r="J137" s="195"/>
      <c r="K137" s="195"/>
      <c r="L137" s="195"/>
      <c r="M137" s="195"/>
      <c r="N137" s="195"/>
      <c r="O137" s="1074"/>
    </row>
    <row r="138" spans="2:15" x14ac:dyDescent="0.2">
      <c r="B138" s="195"/>
      <c r="C138" s="195"/>
      <c r="D138" s="195"/>
      <c r="E138" s="195"/>
      <c r="F138" s="195"/>
      <c r="G138" s="195"/>
      <c r="H138" s="195"/>
      <c r="I138" s="195"/>
      <c r="J138" s="195"/>
      <c r="K138" s="195"/>
      <c r="L138" s="195"/>
      <c r="M138" s="195"/>
      <c r="N138" s="195"/>
      <c r="O138" s="1074"/>
    </row>
    <row r="139" spans="2:15" x14ac:dyDescent="0.2">
      <c r="B139" s="195"/>
      <c r="C139" s="195"/>
      <c r="D139" s="195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074"/>
    </row>
    <row r="140" spans="2:15" x14ac:dyDescent="0.2">
      <c r="B140" s="195"/>
      <c r="C140" s="195"/>
      <c r="D140" s="195"/>
      <c r="E140" s="195"/>
      <c r="F140" s="195"/>
      <c r="G140" s="195"/>
      <c r="H140" s="195"/>
      <c r="I140" s="195"/>
      <c r="J140" s="195"/>
      <c r="K140" s="195"/>
      <c r="L140" s="195"/>
      <c r="M140" s="195"/>
      <c r="N140" s="195"/>
      <c r="O140" s="1074"/>
    </row>
    <row r="141" spans="2:15" x14ac:dyDescent="0.2">
      <c r="B141" s="195"/>
      <c r="C141" s="195"/>
      <c r="D141" s="195"/>
      <c r="E141" s="195"/>
      <c r="F141" s="195"/>
      <c r="G141" s="195"/>
      <c r="H141" s="195"/>
      <c r="I141" s="195"/>
      <c r="J141" s="195"/>
      <c r="K141" s="195"/>
      <c r="L141" s="195"/>
      <c r="M141" s="195"/>
      <c r="N141" s="195"/>
      <c r="O141" s="1074"/>
    </row>
    <row r="142" spans="2:15" x14ac:dyDescent="0.2">
      <c r="B142" s="195"/>
      <c r="C142" s="195"/>
      <c r="D142" s="195"/>
      <c r="E142" s="195"/>
      <c r="F142" s="195"/>
      <c r="G142" s="195"/>
      <c r="H142" s="195"/>
      <c r="I142" s="195"/>
      <c r="J142" s="195"/>
      <c r="K142" s="195"/>
      <c r="L142" s="195"/>
      <c r="M142" s="195"/>
      <c r="N142" s="195"/>
      <c r="O142" s="1074"/>
    </row>
    <row r="143" spans="2:15" x14ac:dyDescent="0.2">
      <c r="B143" s="195"/>
      <c r="C143" s="195"/>
      <c r="D143" s="195"/>
      <c r="E143" s="195"/>
      <c r="F143" s="195"/>
      <c r="G143" s="195"/>
      <c r="H143" s="195"/>
      <c r="I143" s="195"/>
      <c r="J143" s="195"/>
      <c r="K143" s="195"/>
      <c r="L143" s="195"/>
      <c r="M143" s="195"/>
      <c r="N143" s="195"/>
      <c r="O143" s="1074"/>
    </row>
    <row r="144" spans="2:15" x14ac:dyDescent="0.2">
      <c r="B144" s="195"/>
      <c r="C144" s="195"/>
      <c r="D144" s="195"/>
      <c r="E144" s="195"/>
      <c r="F144" s="195"/>
      <c r="G144" s="195"/>
      <c r="H144" s="195"/>
      <c r="I144" s="195"/>
      <c r="J144" s="195"/>
      <c r="K144" s="195"/>
      <c r="L144" s="195"/>
      <c r="M144" s="195"/>
      <c r="N144" s="195"/>
      <c r="O144" s="1074"/>
    </row>
    <row r="145" spans="2:15" x14ac:dyDescent="0.2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  <c r="L145" s="195"/>
      <c r="M145" s="195"/>
      <c r="N145" s="195"/>
      <c r="O145" s="1074"/>
    </row>
    <row r="146" spans="2:15" x14ac:dyDescent="0.2">
      <c r="B146" s="195"/>
      <c r="C146" s="195"/>
      <c r="D146" s="195"/>
      <c r="E146" s="195"/>
      <c r="F146" s="195"/>
      <c r="G146" s="195"/>
      <c r="H146" s="195"/>
      <c r="I146" s="195"/>
      <c r="J146" s="195"/>
      <c r="K146" s="195"/>
      <c r="L146" s="195"/>
      <c r="M146" s="195"/>
      <c r="N146" s="195"/>
      <c r="O146" s="1074"/>
    </row>
    <row r="147" spans="2:15" x14ac:dyDescent="0.2">
      <c r="B147" s="195"/>
      <c r="C147" s="195"/>
      <c r="D147" s="195"/>
      <c r="E147" s="195"/>
      <c r="F147" s="195"/>
      <c r="G147" s="195"/>
      <c r="H147" s="195"/>
      <c r="I147" s="195"/>
      <c r="J147" s="195"/>
      <c r="K147" s="195"/>
      <c r="L147" s="195"/>
      <c r="M147" s="195"/>
      <c r="N147" s="195"/>
      <c r="O147" s="1074"/>
    </row>
    <row r="148" spans="2:15" x14ac:dyDescent="0.2">
      <c r="B148" s="195"/>
      <c r="C148" s="195"/>
      <c r="D148" s="195"/>
      <c r="E148" s="195"/>
      <c r="F148" s="195"/>
      <c r="G148" s="195"/>
      <c r="H148" s="195"/>
      <c r="I148" s="195"/>
      <c r="J148" s="195"/>
      <c r="K148" s="195"/>
      <c r="L148" s="195"/>
      <c r="M148" s="195"/>
      <c r="N148" s="195"/>
      <c r="O148" s="1074"/>
    </row>
    <row r="149" spans="2:15" x14ac:dyDescent="0.2">
      <c r="B149" s="195"/>
      <c r="C149" s="195"/>
      <c r="D149" s="195"/>
      <c r="E149" s="195"/>
      <c r="F149" s="195"/>
      <c r="G149" s="195"/>
      <c r="H149" s="195"/>
      <c r="I149" s="195"/>
      <c r="J149" s="195"/>
      <c r="K149" s="195"/>
      <c r="L149" s="195"/>
      <c r="M149" s="195"/>
      <c r="N149" s="195"/>
      <c r="O149" s="1074"/>
    </row>
    <row r="150" spans="2:15" x14ac:dyDescent="0.2">
      <c r="B150" s="195"/>
      <c r="C150" s="195"/>
      <c r="D150" s="195"/>
      <c r="E150" s="195"/>
      <c r="F150" s="195"/>
      <c r="G150" s="195"/>
      <c r="H150" s="195"/>
      <c r="I150" s="195"/>
      <c r="J150" s="195"/>
      <c r="K150" s="195"/>
      <c r="L150" s="195"/>
      <c r="M150" s="195"/>
      <c r="N150" s="195"/>
      <c r="O150" s="1074"/>
    </row>
    <row r="151" spans="2:15" x14ac:dyDescent="0.2">
      <c r="B151" s="195"/>
      <c r="C151" s="195"/>
      <c r="D151" s="195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  <c r="O151" s="1074"/>
    </row>
    <row r="152" spans="2:15" x14ac:dyDescent="0.2">
      <c r="B152" s="195"/>
      <c r="C152" s="195"/>
      <c r="D152" s="195"/>
      <c r="E152" s="195"/>
      <c r="F152" s="195"/>
      <c r="G152" s="195"/>
      <c r="H152" s="195"/>
      <c r="I152" s="195"/>
      <c r="J152" s="195"/>
      <c r="K152" s="195"/>
      <c r="L152" s="195"/>
      <c r="M152" s="195"/>
      <c r="N152" s="195"/>
      <c r="O152" s="1074"/>
    </row>
    <row r="153" spans="2:15" x14ac:dyDescent="0.2">
      <c r="B153" s="195"/>
      <c r="C153" s="195"/>
      <c r="D153" s="195"/>
      <c r="E153" s="195"/>
      <c r="F153" s="195"/>
      <c r="G153" s="195"/>
      <c r="H153" s="195"/>
      <c r="I153" s="195"/>
      <c r="J153" s="195"/>
      <c r="K153" s="195"/>
      <c r="L153" s="195"/>
      <c r="M153" s="195"/>
      <c r="N153" s="195"/>
      <c r="O153" s="1074"/>
    </row>
    <row r="154" spans="2:15" x14ac:dyDescent="0.2">
      <c r="B154" s="195"/>
      <c r="C154" s="195"/>
      <c r="D154" s="195"/>
      <c r="E154" s="195"/>
      <c r="F154" s="195"/>
      <c r="G154" s="195"/>
      <c r="H154" s="195"/>
      <c r="I154" s="195"/>
      <c r="J154" s="195"/>
      <c r="K154" s="195"/>
      <c r="L154" s="195"/>
      <c r="M154" s="195"/>
      <c r="N154" s="195"/>
      <c r="O154" s="1074"/>
    </row>
    <row r="155" spans="2:15" x14ac:dyDescent="0.2">
      <c r="B155" s="195"/>
      <c r="C155" s="195"/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074"/>
    </row>
    <row r="156" spans="2:15" x14ac:dyDescent="0.2">
      <c r="B156" s="195"/>
      <c r="C156" s="195"/>
      <c r="D156" s="195"/>
      <c r="E156" s="195"/>
      <c r="F156" s="195"/>
      <c r="G156" s="195"/>
      <c r="H156" s="195"/>
      <c r="I156" s="195"/>
      <c r="J156" s="195"/>
      <c r="K156" s="195"/>
      <c r="L156" s="195"/>
      <c r="M156" s="195"/>
      <c r="N156" s="195"/>
      <c r="O156" s="1074"/>
    </row>
    <row r="157" spans="2:15" x14ac:dyDescent="0.2">
      <c r="B157" s="195"/>
      <c r="C157" s="195"/>
      <c r="D157" s="195"/>
      <c r="E157" s="195"/>
      <c r="F157" s="195"/>
      <c r="G157" s="195"/>
      <c r="H157" s="195"/>
      <c r="I157" s="195"/>
      <c r="J157" s="195"/>
      <c r="K157" s="195"/>
      <c r="L157" s="195"/>
      <c r="M157" s="195"/>
      <c r="N157" s="195"/>
      <c r="O157" s="1074"/>
    </row>
    <row r="158" spans="2:15" x14ac:dyDescent="0.2">
      <c r="B158" s="195"/>
      <c r="C158" s="195"/>
      <c r="D158" s="195"/>
      <c r="E158" s="195"/>
      <c r="F158" s="195"/>
      <c r="G158" s="195"/>
      <c r="H158" s="195"/>
      <c r="I158" s="195"/>
      <c r="J158" s="195"/>
      <c r="K158" s="195"/>
      <c r="L158" s="195"/>
      <c r="M158" s="195"/>
      <c r="N158" s="195"/>
      <c r="O158" s="1074"/>
    </row>
    <row r="159" spans="2:15" x14ac:dyDescent="0.2">
      <c r="B159" s="195"/>
      <c r="C159" s="195"/>
      <c r="D159" s="195"/>
      <c r="E159" s="195"/>
      <c r="F159" s="195"/>
      <c r="G159" s="195"/>
      <c r="H159" s="195"/>
      <c r="I159" s="195"/>
      <c r="J159" s="195"/>
      <c r="K159" s="195"/>
      <c r="L159" s="195"/>
      <c r="M159" s="195"/>
      <c r="N159" s="195"/>
      <c r="O159" s="1074"/>
    </row>
    <row r="160" spans="2:15" x14ac:dyDescent="0.2">
      <c r="B160" s="195"/>
      <c r="C160" s="195"/>
      <c r="D160" s="195"/>
      <c r="E160" s="195"/>
      <c r="F160" s="195"/>
      <c r="G160" s="195"/>
      <c r="H160" s="195"/>
      <c r="I160" s="195"/>
      <c r="J160" s="195"/>
      <c r="K160" s="195"/>
      <c r="L160" s="195"/>
      <c r="M160" s="195"/>
      <c r="N160" s="195"/>
      <c r="O160" s="1074"/>
    </row>
    <row r="161" spans="2:15" x14ac:dyDescent="0.2">
      <c r="B161" s="195"/>
      <c r="C161" s="195"/>
      <c r="D161" s="195"/>
      <c r="E161" s="195"/>
      <c r="F161" s="195"/>
      <c r="G161" s="195"/>
      <c r="H161" s="195"/>
      <c r="I161" s="195"/>
      <c r="J161" s="195"/>
      <c r="K161" s="195"/>
      <c r="L161" s="195"/>
      <c r="M161" s="195"/>
      <c r="N161" s="195"/>
      <c r="O161" s="1074"/>
    </row>
    <row r="162" spans="2:15" x14ac:dyDescent="0.2">
      <c r="B162" s="195"/>
      <c r="C162" s="195"/>
      <c r="D162" s="195"/>
      <c r="E162" s="195"/>
      <c r="F162" s="195"/>
      <c r="G162" s="195"/>
      <c r="H162" s="195"/>
      <c r="I162" s="195"/>
      <c r="J162" s="195"/>
      <c r="K162" s="195"/>
      <c r="L162" s="195"/>
      <c r="M162" s="195"/>
      <c r="N162" s="195"/>
      <c r="O162" s="1074"/>
    </row>
    <row r="163" spans="2:15" x14ac:dyDescent="0.2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  <c r="L163" s="195"/>
      <c r="M163" s="195"/>
      <c r="N163" s="195"/>
      <c r="O163" s="1074"/>
    </row>
    <row r="164" spans="2:15" x14ac:dyDescent="0.2">
      <c r="B164" s="195"/>
      <c r="C164" s="195"/>
      <c r="D164" s="195"/>
      <c r="E164" s="195"/>
      <c r="F164" s="195"/>
      <c r="G164" s="195"/>
      <c r="H164" s="195"/>
      <c r="I164" s="195"/>
      <c r="J164" s="195"/>
      <c r="K164" s="195"/>
      <c r="L164" s="195"/>
      <c r="M164" s="195"/>
      <c r="N164" s="195"/>
      <c r="O164" s="1074"/>
    </row>
    <row r="165" spans="2:15" x14ac:dyDescent="0.2">
      <c r="B165" s="195"/>
      <c r="C165" s="195"/>
      <c r="D165" s="195"/>
      <c r="E165" s="195"/>
      <c r="F165" s="195"/>
      <c r="G165" s="195"/>
      <c r="H165" s="195"/>
      <c r="I165" s="195"/>
      <c r="J165" s="195"/>
      <c r="K165" s="195"/>
      <c r="L165" s="195"/>
      <c r="M165" s="195"/>
      <c r="N165" s="195"/>
      <c r="O165" s="1074"/>
    </row>
    <row r="166" spans="2:15" x14ac:dyDescent="0.2">
      <c r="B166" s="195"/>
      <c r="C166" s="195"/>
      <c r="D166" s="195"/>
      <c r="E166" s="195"/>
      <c r="F166" s="195"/>
      <c r="G166" s="195"/>
      <c r="H166" s="195"/>
      <c r="I166" s="195"/>
      <c r="J166" s="195"/>
      <c r="K166" s="195"/>
      <c r="L166" s="195"/>
      <c r="M166" s="195"/>
      <c r="N166" s="195"/>
      <c r="O166" s="1074"/>
    </row>
    <row r="167" spans="2:15" x14ac:dyDescent="0.2">
      <c r="B167" s="195"/>
      <c r="C167" s="195"/>
      <c r="D167" s="195"/>
      <c r="E167" s="195"/>
      <c r="F167" s="195"/>
      <c r="G167" s="195"/>
      <c r="H167" s="195"/>
      <c r="I167" s="195"/>
      <c r="J167" s="195"/>
      <c r="K167" s="195"/>
      <c r="L167" s="195"/>
      <c r="M167" s="195"/>
      <c r="N167" s="195"/>
      <c r="O167" s="1074"/>
    </row>
    <row r="168" spans="2:15" x14ac:dyDescent="0.2">
      <c r="B168" s="195"/>
      <c r="C168" s="195"/>
      <c r="D168" s="195"/>
      <c r="E168" s="195"/>
      <c r="F168" s="195"/>
      <c r="G168" s="195"/>
      <c r="H168" s="195"/>
      <c r="I168" s="195"/>
      <c r="J168" s="195"/>
      <c r="K168" s="195"/>
      <c r="L168" s="195"/>
      <c r="M168" s="195"/>
      <c r="N168" s="195"/>
      <c r="O168" s="1074"/>
    </row>
    <row r="169" spans="2:15" x14ac:dyDescent="0.2">
      <c r="B169" s="195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074"/>
    </row>
    <row r="170" spans="2:15" x14ac:dyDescent="0.2">
      <c r="B170" s="195"/>
      <c r="C170" s="195"/>
      <c r="D170" s="195"/>
      <c r="E170" s="195"/>
      <c r="F170" s="195"/>
      <c r="G170" s="195"/>
      <c r="H170" s="195"/>
      <c r="I170" s="195"/>
      <c r="J170" s="195"/>
      <c r="K170" s="195"/>
      <c r="L170" s="195"/>
      <c r="M170" s="195"/>
      <c r="N170" s="195"/>
      <c r="O170" s="1074"/>
    </row>
    <row r="171" spans="2:15" x14ac:dyDescent="0.2">
      <c r="B171" s="195"/>
      <c r="C171" s="195"/>
      <c r="D171" s="195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074"/>
    </row>
    <row r="172" spans="2:15" x14ac:dyDescent="0.2">
      <c r="B172" s="195"/>
      <c r="C172" s="195"/>
      <c r="D172" s="195"/>
      <c r="E172" s="195"/>
      <c r="F172" s="195"/>
      <c r="G172" s="195"/>
      <c r="H172" s="195"/>
      <c r="I172" s="195"/>
      <c r="J172" s="195"/>
      <c r="K172" s="195"/>
      <c r="L172" s="195"/>
      <c r="M172" s="195"/>
      <c r="N172" s="195"/>
      <c r="O172" s="1074"/>
    </row>
    <row r="173" spans="2:15" x14ac:dyDescent="0.2">
      <c r="B173" s="195"/>
      <c r="C173" s="195"/>
      <c r="D173" s="195"/>
      <c r="E173" s="195"/>
      <c r="F173" s="195"/>
      <c r="G173" s="195"/>
      <c r="H173" s="195"/>
      <c r="I173" s="195"/>
      <c r="J173" s="195"/>
      <c r="K173" s="195"/>
      <c r="L173" s="195"/>
      <c r="M173" s="195"/>
      <c r="N173" s="195"/>
      <c r="O173" s="1074"/>
    </row>
    <row r="174" spans="2:15" x14ac:dyDescent="0.2">
      <c r="B174" s="195"/>
      <c r="C174" s="195"/>
      <c r="D174" s="195"/>
      <c r="E174" s="195"/>
      <c r="F174" s="195"/>
      <c r="G174" s="195"/>
      <c r="H174" s="195"/>
      <c r="I174" s="195"/>
      <c r="J174" s="195"/>
      <c r="K174" s="195"/>
      <c r="L174" s="195"/>
      <c r="M174" s="195"/>
      <c r="N174" s="195"/>
      <c r="O174" s="1074"/>
    </row>
    <row r="175" spans="2:15" x14ac:dyDescent="0.2">
      <c r="B175" s="195"/>
      <c r="C175" s="195"/>
      <c r="D175" s="195"/>
      <c r="E175" s="195"/>
      <c r="F175" s="195"/>
      <c r="G175" s="195"/>
      <c r="H175" s="195"/>
      <c r="I175" s="195"/>
      <c r="J175" s="195"/>
      <c r="K175" s="195"/>
      <c r="L175" s="195"/>
      <c r="M175" s="195"/>
      <c r="N175" s="195"/>
      <c r="O175" s="1074"/>
    </row>
    <row r="176" spans="2:15" x14ac:dyDescent="0.2">
      <c r="B176" s="195"/>
      <c r="C176" s="195"/>
      <c r="D176" s="19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074"/>
    </row>
    <row r="177" spans="2:15" x14ac:dyDescent="0.2">
      <c r="B177" s="195"/>
      <c r="C177" s="195"/>
      <c r="D177" s="195"/>
      <c r="E177" s="195"/>
      <c r="F177" s="195"/>
      <c r="G177" s="195"/>
      <c r="H177" s="195"/>
      <c r="I177" s="195"/>
      <c r="J177" s="195"/>
      <c r="K177" s="195"/>
      <c r="L177" s="195"/>
      <c r="M177" s="195"/>
      <c r="N177" s="195"/>
      <c r="O177" s="1074"/>
    </row>
    <row r="178" spans="2:15" x14ac:dyDescent="0.2">
      <c r="B178" s="195"/>
      <c r="C178" s="195"/>
      <c r="D178" s="195"/>
      <c r="E178" s="195"/>
      <c r="F178" s="195"/>
      <c r="G178" s="195"/>
      <c r="H178" s="195"/>
      <c r="I178" s="195"/>
      <c r="J178" s="195"/>
      <c r="K178" s="195"/>
      <c r="L178" s="195"/>
      <c r="M178" s="195"/>
      <c r="N178" s="195"/>
      <c r="O178" s="1074"/>
    </row>
    <row r="179" spans="2:15" x14ac:dyDescent="0.2">
      <c r="B179" s="195"/>
      <c r="C179" s="195"/>
      <c r="D179" s="195"/>
      <c r="E179" s="195"/>
      <c r="F179" s="195"/>
      <c r="G179" s="195"/>
      <c r="H179" s="195"/>
      <c r="I179" s="195"/>
      <c r="J179" s="195"/>
      <c r="K179" s="195"/>
      <c r="L179" s="195"/>
      <c r="M179" s="195"/>
      <c r="N179" s="195"/>
      <c r="O179" s="1074"/>
    </row>
    <row r="180" spans="2:15" x14ac:dyDescent="0.2">
      <c r="B180" s="195"/>
      <c r="C180" s="195"/>
      <c r="D180" s="195"/>
      <c r="E180" s="195"/>
      <c r="F180" s="195"/>
      <c r="G180" s="195"/>
      <c r="H180" s="195"/>
      <c r="I180" s="195"/>
      <c r="J180" s="195"/>
      <c r="K180" s="195"/>
      <c r="L180" s="195"/>
      <c r="M180" s="195"/>
      <c r="N180" s="195"/>
      <c r="O180" s="1074"/>
    </row>
    <row r="181" spans="2:15" x14ac:dyDescent="0.2">
      <c r="B181" s="195"/>
      <c r="C181" s="195"/>
      <c r="D181" s="195"/>
      <c r="E181" s="195"/>
      <c r="F181" s="195"/>
      <c r="G181" s="195"/>
      <c r="H181" s="195"/>
      <c r="I181" s="195"/>
      <c r="J181" s="195"/>
      <c r="K181" s="195"/>
      <c r="L181" s="195"/>
      <c r="M181" s="195"/>
      <c r="N181" s="195"/>
      <c r="O181" s="1074"/>
    </row>
    <row r="182" spans="2:15" x14ac:dyDescent="0.2">
      <c r="B182" s="195"/>
      <c r="C182" s="195"/>
      <c r="D182" s="195"/>
      <c r="E182" s="195"/>
      <c r="F182" s="195"/>
      <c r="G182" s="195"/>
      <c r="H182" s="195"/>
      <c r="I182" s="195"/>
      <c r="J182" s="195"/>
      <c r="K182" s="195"/>
      <c r="L182" s="195"/>
      <c r="M182" s="195"/>
      <c r="N182" s="195"/>
      <c r="O182" s="1074"/>
    </row>
    <row r="183" spans="2:15" x14ac:dyDescent="0.2">
      <c r="B183" s="195"/>
      <c r="C183" s="195"/>
      <c r="D183" s="195"/>
      <c r="E183" s="195"/>
      <c r="F183" s="195"/>
      <c r="G183" s="195"/>
      <c r="H183" s="195"/>
      <c r="I183" s="195"/>
      <c r="J183" s="195"/>
      <c r="K183" s="195"/>
      <c r="L183" s="195"/>
      <c r="M183" s="195"/>
      <c r="N183" s="195"/>
      <c r="O183" s="1074"/>
    </row>
    <row r="184" spans="2:15" x14ac:dyDescent="0.2">
      <c r="B184" s="195"/>
      <c r="C184" s="195"/>
      <c r="D184" s="195"/>
      <c r="E184" s="195"/>
      <c r="F184" s="195"/>
      <c r="G184" s="195"/>
      <c r="H184" s="195"/>
      <c r="I184" s="195"/>
      <c r="J184" s="195"/>
      <c r="K184" s="195"/>
      <c r="L184" s="195"/>
      <c r="M184" s="195"/>
      <c r="N184" s="195"/>
    </row>
    <row r="185" spans="2:15" x14ac:dyDescent="0.2">
      <c r="B185" s="195"/>
      <c r="C185" s="195"/>
      <c r="D185" s="195"/>
      <c r="E185" s="195"/>
      <c r="F185" s="195"/>
      <c r="G185" s="195"/>
      <c r="H185" s="195"/>
      <c r="I185" s="195"/>
      <c r="J185" s="195"/>
      <c r="K185" s="195"/>
      <c r="L185" s="195"/>
      <c r="M185" s="195"/>
      <c r="N185" s="195"/>
    </row>
    <row r="186" spans="2:15" x14ac:dyDescent="0.2">
      <c r="B186" s="195"/>
      <c r="C186" s="195"/>
      <c r="D186" s="195"/>
      <c r="E186" s="195"/>
      <c r="F186" s="195"/>
      <c r="G186" s="195"/>
      <c r="H186" s="195"/>
      <c r="I186" s="195"/>
      <c r="J186" s="195"/>
      <c r="K186" s="195"/>
      <c r="L186" s="195"/>
      <c r="M186" s="195"/>
      <c r="N186" s="195"/>
    </row>
    <row r="187" spans="2:15" x14ac:dyDescent="0.2">
      <c r="B187" s="195"/>
      <c r="C187" s="195"/>
      <c r="D187" s="195"/>
      <c r="E187" s="195"/>
      <c r="F187" s="195"/>
      <c r="G187" s="195"/>
      <c r="H187" s="195"/>
      <c r="I187" s="195"/>
      <c r="J187" s="195"/>
      <c r="K187" s="195"/>
      <c r="L187" s="195"/>
      <c r="M187" s="195"/>
      <c r="N187" s="195"/>
    </row>
    <row r="188" spans="2:15" x14ac:dyDescent="0.2">
      <c r="B188" s="195"/>
      <c r="C188" s="195"/>
      <c r="D188" s="195"/>
      <c r="E188" s="195"/>
      <c r="F188" s="195"/>
      <c r="G188" s="195"/>
      <c r="H188" s="195"/>
      <c r="I188" s="195"/>
      <c r="J188" s="195"/>
      <c r="K188" s="195"/>
      <c r="L188" s="195"/>
      <c r="M188" s="195"/>
      <c r="N188" s="195"/>
    </row>
    <row r="189" spans="2:15" x14ac:dyDescent="0.2">
      <c r="B189" s="195"/>
      <c r="C189" s="195"/>
      <c r="D189" s="195"/>
      <c r="E189" s="195"/>
      <c r="F189" s="195"/>
      <c r="G189" s="195"/>
      <c r="H189" s="195"/>
      <c r="I189" s="195"/>
      <c r="J189" s="195"/>
      <c r="K189" s="195"/>
      <c r="L189" s="195"/>
      <c r="M189" s="195"/>
      <c r="N189" s="195"/>
    </row>
    <row r="190" spans="2:15" x14ac:dyDescent="0.2">
      <c r="B190" s="195"/>
      <c r="C190" s="195"/>
      <c r="D190" s="195"/>
      <c r="E190" s="195"/>
      <c r="F190" s="195"/>
      <c r="G190" s="195"/>
      <c r="H190" s="195"/>
      <c r="I190" s="195"/>
      <c r="J190" s="195"/>
      <c r="K190" s="195"/>
      <c r="L190" s="195"/>
      <c r="M190" s="195"/>
      <c r="N190" s="195"/>
    </row>
    <row r="191" spans="2:15" x14ac:dyDescent="0.2">
      <c r="B191" s="195"/>
      <c r="C191" s="195"/>
      <c r="D191" s="195"/>
      <c r="E191" s="195"/>
      <c r="F191" s="195"/>
      <c r="G191" s="195"/>
      <c r="H191" s="195"/>
      <c r="I191" s="195"/>
      <c r="J191" s="195"/>
      <c r="K191" s="195"/>
      <c r="L191" s="195"/>
      <c r="M191" s="195"/>
      <c r="N191" s="195"/>
    </row>
    <row r="192" spans="2:15" x14ac:dyDescent="0.2">
      <c r="B192" s="195"/>
      <c r="C192" s="195"/>
      <c r="D192" s="195"/>
      <c r="E192" s="195"/>
      <c r="F192" s="195"/>
      <c r="G192" s="195"/>
      <c r="H192" s="195"/>
      <c r="I192" s="195"/>
      <c r="J192" s="195"/>
      <c r="K192" s="195"/>
      <c r="L192" s="195"/>
      <c r="M192" s="195"/>
      <c r="N192" s="195"/>
    </row>
    <row r="193" spans="2:14" x14ac:dyDescent="0.2">
      <c r="B193" s="195"/>
      <c r="C193" s="195"/>
      <c r="D193" s="195"/>
      <c r="E193" s="195"/>
      <c r="F193" s="195"/>
      <c r="G193" s="195"/>
      <c r="H193" s="195"/>
      <c r="I193" s="195"/>
      <c r="J193" s="195"/>
      <c r="K193" s="195"/>
      <c r="L193" s="195"/>
      <c r="M193" s="195"/>
      <c r="N193" s="195"/>
    </row>
    <row r="194" spans="2:14" x14ac:dyDescent="0.2">
      <c r="B194" s="195"/>
      <c r="C194" s="195"/>
      <c r="D194" s="195"/>
      <c r="E194" s="195"/>
      <c r="F194" s="195"/>
      <c r="G194" s="195"/>
      <c r="H194" s="195"/>
      <c r="I194" s="195"/>
      <c r="J194" s="195"/>
      <c r="K194" s="195"/>
      <c r="L194" s="195"/>
      <c r="M194" s="195"/>
      <c r="N194" s="195"/>
    </row>
    <row r="195" spans="2:14" x14ac:dyDescent="0.2">
      <c r="B195" s="195"/>
      <c r="C195" s="195"/>
      <c r="D195" s="195"/>
      <c r="E195" s="195"/>
      <c r="F195" s="195"/>
      <c r="G195" s="195"/>
      <c r="H195" s="195"/>
      <c r="I195" s="195"/>
      <c r="J195" s="195"/>
      <c r="K195" s="195"/>
      <c r="L195" s="195"/>
      <c r="M195" s="195"/>
      <c r="N195" s="195"/>
    </row>
    <row r="196" spans="2:14" x14ac:dyDescent="0.2">
      <c r="B196" s="195"/>
      <c r="C196" s="195"/>
      <c r="D196" s="195"/>
      <c r="E196" s="195"/>
      <c r="F196" s="195"/>
      <c r="G196" s="195"/>
      <c r="H196" s="195"/>
      <c r="I196" s="195"/>
      <c r="J196" s="195"/>
      <c r="K196" s="195"/>
      <c r="L196" s="195"/>
      <c r="M196" s="195"/>
      <c r="N196" s="195"/>
    </row>
    <row r="197" spans="2:14" x14ac:dyDescent="0.2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  <c r="L197" s="195"/>
      <c r="M197" s="195"/>
      <c r="N197" s="195"/>
    </row>
    <row r="198" spans="2:14" x14ac:dyDescent="0.2">
      <c r="B198" s="195"/>
      <c r="C198" s="195"/>
      <c r="D198" s="195"/>
      <c r="E198" s="195"/>
      <c r="F198" s="195"/>
      <c r="G198" s="195"/>
      <c r="H198" s="195"/>
      <c r="I198" s="195"/>
      <c r="J198" s="195"/>
      <c r="K198" s="195"/>
      <c r="L198" s="195"/>
      <c r="M198" s="195"/>
      <c r="N198" s="195"/>
    </row>
    <row r="199" spans="2:14" x14ac:dyDescent="0.2">
      <c r="B199" s="195"/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</row>
    <row r="200" spans="2:14" x14ac:dyDescent="0.2">
      <c r="B200" s="195"/>
      <c r="C200" s="195"/>
      <c r="D200" s="195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</row>
    <row r="201" spans="2:14" x14ac:dyDescent="0.2">
      <c r="B201" s="195"/>
      <c r="C201" s="195"/>
      <c r="D201" s="195"/>
      <c r="E201" s="195"/>
      <c r="F201" s="195"/>
      <c r="G201" s="195"/>
      <c r="H201" s="195"/>
      <c r="I201" s="195"/>
      <c r="J201" s="195"/>
      <c r="K201" s="195"/>
      <c r="L201" s="195"/>
      <c r="M201" s="195"/>
      <c r="N201" s="195"/>
    </row>
    <row r="202" spans="2:14" x14ac:dyDescent="0.2">
      <c r="B202" s="195"/>
      <c r="C202" s="195"/>
      <c r="D202" s="195"/>
      <c r="E202" s="195"/>
      <c r="F202" s="195"/>
      <c r="G202" s="195"/>
      <c r="H202" s="195"/>
      <c r="I202" s="195"/>
      <c r="J202" s="195"/>
      <c r="K202" s="195"/>
      <c r="L202" s="195"/>
      <c r="M202" s="195"/>
      <c r="N202" s="195"/>
    </row>
    <row r="203" spans="2:14" x14ac:dyDescent="0.2">
      <c r="B203" s="195"/>
      <c r="C203" s="195"/>
      <c r="D203" s="195"/>
      <c r="E203" s="195"/>
      <c r="F203" s="195"/>
      <c r="G203" s="195"/>
      <c r="H203" s="195"/>
      <c r="I203" s="195"/>
      <c r="J203" s="195"/>
      <c r="K203" s="195"/>
      <c r="L203" s="195"/>
      <c r="M203" s="195"/>
      <c r="N203" s="195"/>
    </row>
    <row r="204" spans="2:14" x14ac:dyDescent="0.2">
      <c r="B204" s="195"/>
      <c r="C204" s="195"/>
      <c r="D204" s="195"/>
      <c r="E204" s="195"/>
      <c r="F204" s="195"/>
      <c r="G204" s="195"/>
      <c r="H204" s="195"/>
      <c r="I204" s="195"/>
      <c r="J204" s="195"/>
      <c r="K204" s="195"/>
      <c r="L204" s="195"/>
      <c r="M204" s="195"/>
      <c r="N204" s="195"/>
    </row>
    <row r="205" spans="2:14" x14ac:dyDescent="0.2">
      <c r="B205" s="195"/>
      <c r="C205" s="195"/>
      <c r="D205" s="195"/>
      <c r="E205" s="195"/>
      <c r="F205" s="195"/>
      <c r="G205" s="195"/>
      <c r="H205" s="195"/>
      <c r="I205" s="195"/>
      <c r="J205" s="195"/>
      <c r="K205" s="195"/>
      <c r="L205" s="195"/>
      <c r="M205" s="195"/>
      <c r="N205" s="195"/>
    </row>
    <row r="206" spans="2:14" x14ac:dyDescent="0.2">
      <c r="B206" s="195"/>
      <c r="C206" s="195"/>
      <c r="D206" s="195"/>
      <c r="E206" s="195"/>
      <c r="F206" s="195"/>
      <c r="G206" s="195"/>
      <c r="H206" s="195"/>
      <c r="I206" s="195"/>
      <c r="J206" s="195"/>
      <c r="K206" s="195"/>
      <c r="L206" s="195"/>
      <c r="M206" s="195"/>
      <c r="N206" s="195"/>
    </row>
    <row r="207" spans="2:14" x14ac:dyDescent="0.2">
      <c r="B207" s="195"/>
      <c r="C207" s="195"/>
      <c r="D207" s="195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</row>
    <row r="208" spans="2:14" x14ac:dyDescent="0.2">
      <c r="B208" s="195"/>
      <c r="C208" s="195"/>
      <c r="D208" s="195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</row>
    <row r="209" spans="2:14" x14ac:dyDescent="0.2">
      <c r="B209" s="195"/>
      <c r="C209" s="195"/>
      <c r="D209" s="195"/>
      <c r="E209" s="195"/>
      <c r="F209" s="195"/>
      <c r="G209" s="195"/>
      <c r="H209" s="195"/>
      <c r="I209" s="195"/>
      <c r="J209" s="195"/>
      <c r="K209" s="195"/>
      <c r="L209" s="195"/>
      <c r="M209" s="195"/>
      <c r="N209" s="195"/>
    </row>
    <row r="210" spans="2:14" x14ac:dyDescent="0.2">
      <c r="B210" s="195"/>
      <c r="C210" s="195"/>
      <c r="D210" s="195"/>
      <c r="E210" s="195"/>
      <c r="F210" s="195"/>
      <c r="G210" s="195"/>
      <c r="H210" s="195"/>
      <c r="I210" s="195"/>
      <c r="J210" s="195"/>
      <c r="K210" s="195"/>
      <c r="L210" s="195"/>
      <c r="M210" s="195"/>
      <c r="N210" s="195"/>
    </row>
    <row r="211" spans="2:14" x14ac:dyDescent="0.2">
      <c r="B211" s="195"/>
      <c r="C211" s="195"/>
      <c r="D211" s="195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</row>
    <row r="212" spans="2:14" x14ac:dyDescent="0.2">
      <c r="B212" s="195"/>
      <c r="C212" s="195"/>
      <c r="D212" s="195"/>
      <c r="E212" s="195"/>
      <c r="F212" s="195"/>
      <c r="G212" s="195"/>
      <c r="H212" s="195"/>
      <c r="I212" s="195"/>
      <c r="J212" s="195"/>
      <c r="K212" s="195"/>
      <c r="L212" s="195"/>
      <c r="M212" s="195"/>
      <c r="N212" s="195"/>
    </row>
  </sheetData>
  <mergeCells count="1">
    <mergeCell ref="A2:N2"/>
  </mergeCells>
  <phoneticPr fontId="3" type="noConversion"/>
  <pageMargins left="0.49" right="0.47" top="1" bottom="1" header="0.5" footer="0.5"/>
  <pageSetup paperSize="9" scale="34" orientation="landscape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1071"/>
  <sheetViews>
    <sheetView topLeftCell="A238" workbookViewId="0">
      <selection activeCell="A215" sqref="A215:N261"/>
    </sheetView>
  </sheetViews>
  <sheetFormatPr defaultColWidth="9.140625" defaultRowHeight="12.75" x14ac:dyDescent="0.2"/>
  <cols>
    <col min="1" max="1" width="7.140625" style="406" customWidth="1"/>
    <col min="2" max="2" width="19" style="406" customWidth="1"/>
    <col min="3" max="3" width="12.7109375" style="500" bestFit="1" customWidth="1"/>
    <col min="4" max="4" width="13" style="500" bestFit="1" customWidth="1"/>
    <col min="5" max="5" width="12.85546875" style="500" bestFit="1" customWidth="1"/>
    <col min="6" max="6" width="12.7109375" style="500" bestFit="1" customWidth="1"/>
    <col min="7" max="7" width="12.5703125" style="500" customWidth="1"/>
    <col min="8" max="8" width="13" style="500" customWidth="1"/>
    <col min="9" max="9" width="12.85546875" style="500" customWidth="1"/>
    <col min="10" max="10" width="15.85546875" style="500" customWidth="1"/>
    <col min="11" max="11" width="12.85546875" style="500" bestFit="1" customWidth="1"/>
    <col min="12" max="12" width="14.42578125" style="500" bestFit="1" customWidth="1"/>
    <col min="13" max="13" width="14.42578125" style="574" bestFit="1" customWidth="1"/>
    <col min="14" max="14" width="14.42578125" style="500" bestFit="1" customWidth="1"/>
    <col min="15" max="15" width="14.85546875" style="500" bestFit="1" customWidth="1"/>
    <col min="16" max="16" width="14.28515625" style="500" bestFit="1" customWidth="1"/>
    <col min="17" max="17" width="9.140625" style="500"/>
    <col min="18" max="18" width="10" style="500" customWidth="1"/>
    <col min="19" max="20" width="9.140625" style="500"/>
    <col min="21" max="16384" width="9.140625" style="406"/>
  </cols>
  <sheetData>
    <row r="1" spans="1:41" ht="29.25" customHeight="1" thickBot="1" x14ac:dyDescent="0.3">
      <c r="A1" s="2009" t="s">
        <v>561</v>
      </c>
      <c r="B1" s="2010"/>
      <c r="C1" s="2010"/>
      <c r="D1" s="2010"/>
      <c r="E1" s="2010"/>
      <c r="F1" s="2010"/>
      <c r="G1" s="2010"/>
      <c r="H1" s="2010"/>
      <c r="I1" s="2010"/>
      <c r="J1" s="2010"/>
      <c r="K1" s="2010"/>
      <c r="L1" s="2011"/>
      <c r="M1" s="497"/>
      <c r="N1" s="498"/>
      <c r="O1" s="498"/>
      <c r="P1" s="499"/>
    </row>
    <row r="2" spans="1:41" ht="3.75" customHeight="1" thickBot="1" x14ac:dyDescent="0.3">
      <c r="A2" s="449"/>
      <c r="C2" s="501"/>
      <c r="D2" s="502"/>
      <c r="E2" s="502"/>
      <c r="F2" s="502"/>
      <c r="G2" s="502"/>
      <c r="H2" s="502"/>
      <c r="I2" s="502"/>
      <c r="J2" s="502"/>
      <c r="K2" s="503"/>
      <c r="L2" s="504"/>
      <c r="M2" s="503"/>
      <c r="N2" s="505"/>
      <c r="O2" s="498"/>
      <c r="P2" s="499"/>
    </row>
    <row r="3" spans="1:41" ht="39" customHeight="1" x14ac:dyDescent="0.2">
      <c r="A3" s="506" t="s">
        <v>210</v>
      </c>
      <c r="B3" s="507" t="s">
        <v>211</v>
      </c>
      <c r="C3" s="508" t="s">
        <v>212</v>
      </c>
      <c r="D3" s="508" t="s">
        <v>213</v>
      </c>
      <c r="E3" s="508" t="s">
        <v>129</v>
      </c>
      <c r="F3" s="508" t="s">
        <v>215</v>
      </c>
      <c r="G3" s="508" t="s">
        <v>216</v>
      </c>
      <c r="H3" s="508" t="s">
        <v>130</v>
      </c>
      <c r="I3" s="508" t="s">
        <v>214</v>
      </c>
      <c r="J3" s="508" t="s">
        <v>379</v>
      </c>
      <c r="K3" s="509" t="s">
        <v>131</v>
      </c>
      <c r="L3" s="510" t="s">
        <v>53</v>
      </c>
      <c r="M3" s="449"/>
      <c r="N3" s="406"/>
      <c r="O3" s="406"/>
      <c r="P3" s="406"/>
      <c r="Q3" s="406"/>
      <c r="R3" s="406"/>
      <c r="S3" s="406"/>
      <c r="T3" s="406"/>
    </row>
    <row r="4" spans="1:41" ht="15" customHeight="1" thickBot="1" x14ac:dyDescent="0.25">
      <c r="A4" s="2022" t="s">
        <v>174</v>
      </c>
      <c r="B4" s="2023"/>
      <c r="C4" s="718"/>
      <c r="D4" s="718"/>
      <c r="E4" s="718"/>
      <c r="F4" s="718"/>
      <c r="G4" s="718"/>
      <c r="H4" s="718"/>
      <c r="I4" s="718"/>
      <c r="J4" s="718"/>
      <c r="K4" s="719"/>
      <c r="L4" s="720"/>
      <c r="M4" s="449"/>
      <c r="N4" s="406"/>
      <c r="O4" s="406"/>
      <c r="P4" s="406"/>
      <c r="Q4" s="406"/>
      <c r="R4" s="406"/>
      <c r="S4" s="406"/>
      <c r="T4" s="406"/>
    </row>
    <row r="5" spans="1:41" ht="15" customHeight="1" x14ac:dyDescent="0.2">
      <c r="A5" s="400" t="s">
        <v>225</v>
      </c>
      <c r="B5" s="1077" t="s">
        <v>374</v>
      </c>
      <c r="C5" s="721"/>
      <c r="D5" s="721"/>
      <c r="E5" s="721"/>
      <c r="F5" s="721"/>
      <c r="G5" s="721"/>
      <c r="H5" s="721"/>
      <c r="I5" s="721"/>
      <c r="J5" s="721"/>
      <c r="K5" s="722"/>
      <c r="L5" s="731"/>
      <c r="M5" s="449"/>
      <c r="N5" s="406"/>
      <c r="O5" s="406"/>
      <c r="P5" s="406"/>
      <c r="Q5" s="406"/>
      <c r="R5" s="406"/>
      <c r="S5" s="406"/>
      <c r="T5" s="406"/>
    </row>
    <row r="6" spans="1:41" s="447" customFormat="1" ht="15" customHeight="1" thickBot="1" x14ac:dyDescent="0.25">
      <c r="A6" s="400"/>
      <c r="B6" s="401" t="s">
        <v>349</v>
      </c>
      <c r="C6" s="721">
        <f>SUM('5.a.sz. melléklet'!C7)</f>
        <v>4895000</v>
      </c>
      <c r="D6" s="721"/>
      <c r="E6" s="721"/>
      <c r="F6" s="721"/>
      <c r="G6" s="721">
        <f>SUM('5.a.sz. melléklet'!G7)</f>
        <v>0</v>
      </c>
      <c r="H6" s="721"/>
      <c r="I6" s="721"/>
      <c r="J6" s="721"/>
      <c r="K6" s="722"/>
      <c r="L6" s="1176">
        <f>SUM(C6:K6)</f>
        <v>4895000</v>
      </c>
      <c r="M6" s="449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  <c r="AA6" s="406"/>
      <c r="AB6" s="406"/>
      <c r="AC6" s="406"/>
      <c r="AD6" s="406"/>
      <c r="AE6" s="406"/>
      <c r="AF6" s="406"/>
      <c r="AG6" s="406"/>
      <c r="AH6" s="406"/>
      <c r="AI6" s="406"/>
      <c r="AJ6" s="406"/>
      <c r="AK6" s="406"/>
      <c r="AL6" s="406"/>
      <c r="AM6" s="406"/>
      <c r="AN6" s="406"/>
      <c r="AO6" s="406"/>
    </row>
    <row r="7" spans="1:41" ht="15" customHeight="1" thickBot="1" x14ac:dyDescent="0.25">
      <c r="A7" s="1442"/>
      <c r="B7" s="402" t="s">
        <v>350</v>
      </c>
      <c r="C7" s="723">
        <f>SUM('5.a.sz. melléklet'!C8)</f>
        <v>4895000</v>
      </c>
      <c r="D7" s="723"/>
      <c r="E7" s="723"/>
      <c r="F7" s="723"/>
      <c r="G7" s="723"/>
      <c r="H7" s="723"/>
      <c r="I7" s="723"/>
      <c r="J7" s="723"/>
      <c r="K7" s="724"/>
      <c r="L7" s="1443">
        <f>SUM(C7:K7)</f>
        <v>4895000</v>
      </c>
      <c r="M7" s="449"/>
      <c r="N7" s="406"/>
      <c r="O7" s="406"/>
      <c r="P7" s="406"/>
      <c r="Q7" s="406"/>
      <c r="R7" s="406"/>
      <c r="S7" s="406"/>
      <c r="T7" s="406"/>
    </row>
    <row r="8" spans="1:41" ht="24.75" customHeight="1" x14ac:dyDescent="0.2">
      <c r="A8" s="511" t="s">
        <v>235</v>
      </c>
      <c r="B8" s="445" t="s">
        <v>478</v>
      </c>
      <c r="C8" s="736"/>
      <c r="D8" s="736"/>
      <c r="E8" s="736"/>
      <c r="F8" s="736"/>
      <c r="G8" s="736"/>
      <c r="H8" s="736"/>
      <c r="I8" s="736"/>
      <c r="J8" s="736"/>
      <c r="K8" s="737"/>
      <c r="L8" s="725"/>
      <c r="M8" s="449"/>
      <c r="N8" s="406"/>
      <c r="O8" s="406"/>
      <c r="P8" s="406"/>
      <c r="Q8" s="406"/>
      <c r="R8" s="406"/>
      <c r="S8" s="406"/>
      <c r="T8" s="406"/>
    </row>
    <row r="9" spans="1:41" s="447" customFormat="1" ht="15" customHeight="1" thickBot="1" x14ac:dyDescent="0.25">
      <c r="A9" s="400"/>
      <c r="B9" s="401" t="s">
        <v>349</v>
      </c>
      <c r="C9" s="721">
        <f>SUM('5.a.sz. melléklet'!C10)</f>
        <v>52068000</v>
      </c>
      <c r="D9" s="721"/>
      <c r="E9" s="721"/>
      <c r="F9" s="721">
        <f>'5.a.sz. melléklet'!F10</f>
        <v>12700000</v>
      </c>
      <c r="G9" s="721">
        <f>SUM('5.a.sz. melléklet'!G10)</f>
        <v>158290848</v>
      </c>
      <c r="H9" s="721"/>
      <c r="I9" s="721">
        <f>SUM('5.a.sz. melléklet'!I10)</f>
        <v>196528000</v>
      </c>
      <c r="J9" s="721"/>
      <c r="K9" s="722">
        <f>SUM('5.a.sz. melléklet'!K10)</f>
        <v>0</v>
      </c>
      <c r="L9" s="1176">
        <f>SUM(C9:K9)</f>
        <v>419586848</v>
      </c>
      <c r="M9" s="449"/>
      <c r="N9" s="406"/>
      <c r="O9" s="406"/>
      <c r="P9" s="406"/>
      <c r="Q9" s="406"/>
      <c r="R9" s="406"/>
      <c r="S9" s="406"/>
      <c r="T9" s="406"/>
      <c r="U9" s="406"/>
      <c r="V9" s="406"/>
      <c r="W9" s="406"/>
      <c r="X9" s="406"/>
      <c r="Y9" s="406"/>
      <c r="Z9" s="406"/>
      <c r="AA9" s="406"/>
      <c r="AB9" s="406"/>
      <c r="AC9" s="406"/>
      <c r="AD9" s="406"/>
      <c r="AE9" s="406"/>
      <c r="AF9" s="406"/>
      <c r="AG9" s="406"/>
      <c r="AH9" s="406"/>
      <c r="AI9" s="406"/>
      <c r="AJ9" s="406"/>
      <c r="AK9" s="406"/>
      <c r="AL9" s="406"/>
      <c r="AM9" s="406"/>
      <c r="AN9" s="406"/>
      <c r="AO9" s="406"/>
    </row>
    <row r="10" spans="1:41" s="1444" customFormat="1" ht="15" customHeight="1" thickBot="1" x14ac:dyDescent="0.25">
      <c r="A10" s="1442"/>
      <c r="B10" s="402" t="s">
        <v>350</v>
      </c>
      <c r="C10" s="723">
        <f>SUM('5.a.sz. melléklet'!C11)</f>
        <v>52068000</v>
      </c>
      <c r="D10" s="723"/>
      <c r="E10" s="723"/>
      <c r="F10" s="723">
        <f>'5.a.sz. melléklet'!F11</f>
        <v>12700000</v>
      </c>
      <c r="G10" s="723">
        <f>SUM('5.a.sz. melléklet'!G11)</f>
        <v>158290848</v>
      </c>
      <c r="H10" s="723"/>
      <c r="I10" s="723">
        <f>SUM('5.a.sz. melléklet'!I11)</f>
        <v>196528000</v>
      </c>
      <c r="J10" s="723"/>
      <c r="K10" s="724"/>
      <c r="L10" s="1443">
        <f>SUM(C10:K10)</f>
        <v>419586848</v>
      </c>
      <c r="M10" s="449"/>
      <c r="N10" s="406"/>
      <c r="O10" s="406"/>
      <c r="P10" s="406"/>
      <c r="Q10" s="406"/>
      <c r="R10" s="406"/>
      <c r="S10" s="406"/>
      <c r="T10" s="406"/>
      <c r="U10" s="406"/>
      <c r="V10" s="406"/>
      <c r="W10" s="406"/>
      <c r="X10" s="406"/>
      <c r="Y10" s="406"/>
      <c r="Z10" s="406"/>
      <c r="AA10" s="406"/>
      <c r="AB10" s="406"/>
      <c r="AC10" s="406"/>
      <c r="AD10" s="406"/>
      <c r="AE10" s="406"/>
      <c r="AF10" s="406"/>
      <c r="AG10" s="406"/>
      <c r="AH10" s="406"/>
      <c r="AI10" s="406"/>
      <c r="AJ10" s="406"/>
      <c r="AK10" s="406"/>
      <c r="AL10" s="406"/>
      <c r="AM10" s="406"/>
      <c r="AN10" s="406"/>
      <c r="AO10" s="406"/>
    </row>
    <row r="11" spans="1:41" ht="21.75" customHeight="1" x14ac:dyDescent="0.2">
      <c r="A11" s="511" t="s">
        <v>288</v>
      </c>
      <c r="B11" s="445" t="s">
        <v>289</v>
      </c>
      <c r="C11" s="736"/>
      <c r="D11" s="736"/>
      <c r="E11" s="736"/>
      <c r="F11" s="736"/>
      <c r="G11" s="736"/>
      <c r="H11" s="736"/>
      <c r="I11" s="736"/>
      <c r="J11" s="736"/>
      <c r="K11" s="737"/>
      <c r="L11" s="1181"/>
      <c r="M11" s="449"/>
      <c r="N11" s="406"/>
      <c r="O11" s="406"/>
      <c r="P11" s="406"/>
      <c r="Q11" s="406"/>
      <c r="R11" s="406"/>
      <c r="S11" s="406"/>
      <c r="T11" s="406"/>
    </row>
    <row r="12" spans="1:41" s="447" customFormat="1" ht="15" customHeight="1" thickBot="1" x14ac:dyDescent="0.25">
      <c r="A12" s="400"/>
      <c r="B12" s="401" t="s">
        <v>349</v>
      </c>
      <c r="C12" s="721"/>
      <c r="D12" s="721"/>
      <c r="E12" s="721">
        <f>SUM('5.a.sz. melléklet'!E13)</f>
        <v>134971058</v>
      </c>
      <c r="F12" s="721"/>
      <c r="G12" s="721"/>
      <c r="H12" s="721"/>
      <c r="I12" s="721"/>
      <c r="J12" s="721"/>
      <c r="K12" s="722"/>
      <c r="L12" s="1176">
        <f>SUM(C12:K12)</f>
        <v>134971058</v>
      </c>
      <c r="M12" s="449"/>
      <c r="N12" s="406"/>
      <c r="O12" s="406"/>
      <c r="P12" s="406"/>
      <c r="Q12" s="406"/>
      <c r="R12" s="406"/>
      <c r="S12" s="406"/>
      <c r="T12" s="406"/>
      <c r="U12" s="406"/>
      <c r="V12" s="406"/>
      <c r="W12" s="406"/>
      <c r="X12" s="406"/>
      <c r="Y12" s="406"/>
      <c r="Z12" s="406"/>
      <c r="AA12" s="406"/>
      <c r="AB12" s="406"/>
      <c r="AC12" s="406"/>
      <c r="AD12" s="406"/>
      <c r="AE12" s="406"/>
      <c r="AF12" s="406"/>
      <c r="AG12" s="406"/>
      <c r="AH12" s="406"/>
      <c r="AI12" s="406"/>
      <c r="AJ12" s="406"/>
      <c r="AK12" s="406"/>
      <c r="AL12" s="406"/>
      <c r="AM12" s="406"/>
      <c r="AN12" s="406"/>
      <c r="AO12" s="406"/>
    </row>
    <row r="13" spans="1:41" ht="15" customHeight="1" thickBot="1" x14ac:dyDescent="0.25">
      <c r="A13" s="1442"/>
      <c r="B13" s="402" t="s">
        <v>350</v>
      </c>
      <c r="C13" s="723"/>
      <c r="D13" s="723"/>
      <c r="E13" s="723">
        <f>'5. sz.melléklet'!D14</f>
        <v>136755752</v>
      </c>
      <c r="F13" s="723"/>
      <c r="G13" s="723"/>
      <c r="H13" s="723"/>
      <c r="I13" s="723"/>
      <c r="J13" s="723"/>
      <c r="K13" s="724">
        <f>'5.a.sz. melléklet'!K14</f>
        <v>27182869</v>
      </c>
      <c r="L13" s="1443">
        <f>SUM(C13:K13)</f>
        <v>163938621</v>
      </c>
      <c r="M13" s="449"/>
      <c r="N13" s="406"/>
      <c r="O13" s="406"/>
      <c r="P13" s="406"/>
      <c r="Q13" s="406"/>
      <c r="R13" s="406"/>
      <c r="S13" s="406"/>
      <c r="T13" s="406"/>
    </row>
    <row r="14" spans="1:41" ht="21.75" customHeight="1" x14ac:dyDescent="0.2">
      <c r="A14" s="1198" t="s">
        <v>278</v>
      </c>
      <c r="B14" s="1213" t="s">
        <v>279</v>
      </c>
      <c r="C14" s="736"/>
      <c r="D14" s="736"/>
      <c r="E14" s="736"/>
      <c r="F14" s="736"/>
      <c r="G14" s="736"/>
      <c r="H14" s="736"/>
      <c r="I14" s="736"/>
      <c r="J14" s="736"/>
      <c r="K14" s="737"/>
      <c r="L14" s="1181"/>
      <c r="M14" s="449"/>
      <c r="N14" s="406"/>
      <c r="O14" s="406"/>
      <c r="P14" s="406"/>
      <c r="Q14" s="406"/>
      <c r="R14" s="406"/>
      <c r="S14" s="406"/>
      <c r="T14" s="406"/>
    </row>
    <row r="15" spans="1:41" s="447" customFormat="1" ht="15" customHeight="1" thickBot="1" x14ac:dyDescent="0.25">
      <c r="A15" s="407"/>
      <c r="B15" s="401" t="s">
        <v>349</v>
      </c>
      <c r="C15" s="721"/>
      <c r="D15" s="721"/>
      <c r="E15" s="721"/>
      <c r="F15" s="721"/>
      <c r="G15" s="721"/>
      <c r="H15" s="721"/>
      <c r="I15" s="721"/>
      <c r="J15" s="721">
        <f>SUM('5.a.sz. melléklet'!J16)</f>
        <v>379000000</v>
      </c>
      <c r="K15" s="722"/>
      <c r="L15" s="1176">
        <f>SUM(C15:K15)</f>
        <v>379000000</v>
      </c>
      <c r="M15" s="449"/>
      <c r="N15" s="406"/>
      <c r="O15" s="406"/>
      <c r="P15" s="406"/>
      <c r="Q15" s="406"/>
      <c r="R15" s="406"/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6"/>
    </row>
    <row r="16" spans="1:41" ht="15" customHeight="1" thickBot="1" x14ac:dyDescent="0.25">
      <c r="A16" s="1445"/>
      <c r="B16" s="402" t="s">
        <v>350</v>
      </c>
      <c r="C16" s="723"/>
      <c r="D16" s="723"/>
      <c r="E16" s="723"/>
      <c r="F16" s="723"/>
      <c r="G16" s="723"/>
      <c r="H16" s="723"/>
      <c r="I16" s="723"/>
      <c r="J16" s="723">
        <f>SUM('5.a.sz. melléklet'!J17)+'13.sz.melléklet'!G28+'14.sz.melléklet'!F25</f>
        <v>379000000</v>
      </c>
      <c r="K16" s="724"/>
      <c r="L16" s="1443">
        <f>SUM(C16:K16)</f>
        <v>379000000</v>
      </c>
      <c r="M16" s="449"/>
      <c r="N16" s="406"/>
      <c r="O16" s="406"/>
      <c r="P16" s="406"/>
      <c r="Q16" s="406"/>
      <c r="R16" s="406"/>
      <c r="S16" s="406"/>
      <c r="T16" s="406"/>
    </row>
    <row r="17" spans="1:41" ht="25.5" x14ac:dyDescent="0.2">
      <c r="A17" s="511" t="s">
        <v>249</v>
      </c>
      <c r="B17" s="445" t="s">
        <v>159</v>
      </c>
      <c r="C17" s="1177"/>
      <c r="D17" s="1178"/>
      <c r="E17" s="1178"/>
      <c r="F17" s="1178"/>
      <c r="G17" s="1178"/>
      <c r="H17" s="1178"/>
      <c r="I17" s="1178"/>
      <c r="J17" s="1178"/>
      <c r="K17" s="1180"/>
      <c r="L17" s="1181"/>
      <c r="M17" s="449"/>
      <c r="N17" s="406"/>
      <c r="O17" s="406"/>
      <c r="P17" s="406"/>
      <c r="Q17" s="406"/>
      <c r="R17" s="406"/>
      <c r="S17" s="406"/>
      <c r="T17" s="406"/>
    </row>
    <row r="18" spans="1:41" s="447" customFormat="1" ht="15" customHeight="1" thickBot="1" x14ac:dyDescent="0.25">
      <c r="A18" s="400"/>
      <c r="B18" s="401" t="s">
        <v>349</v>
      </c>
      <c r="C18" s="726">
        <f>SUM('5.a.sz. melléklet'!C31)</f>
        <v>8351000</v>
      </c>
      <c r="D18" s="727"/>
      <c r="E18" s="727"/>
      <c r="F18" s="727"/>
      <c r="G18" s="727"/>
      <c r="H18" s="727"/>
      <c r="I18" s="727"/>
      <c r="J18" s="727"/>
      <c r="K18" s="728"/>
      <c r="L18" s="1176">
        <f>SUM(C18:K18)</f>
        <v>8351000</v>
      </c>
      <c r="M18" s="449"/>
      <c r="N18" s="406"/>
      <c r="O18" s="406"/>
      <c r="P18" s="406"/>
      <c r="Q18" s="406"/>
      <c r="R18" s="406"/>
      <c r="S18" s="406"/>
      <c r="T18" s="406"/>
      <c r="U18" s="406"/>
      <c r="V18" s="406"/>
      <c r="W18" s="406"/>
      <c r="X18" s="406"/>
      <c r="Y18" s="406"/>
      <c r="Z18" s="406"/>
      <c r="AA18" s="406"/>
      <c r="AB18" s="406"/>
      <c r="AC18" s="406"/>
      <c r="AD18" s="406"/>
      <c r="AE18" s="406"/>
      <c r="AF18" s="406"/>
      <c r="AG18" s="406"/>
      <c r="AH18" s="406"/>
      <c r="AI18" s="406"/>
      <c r="AJ18" s="406"/>
      <c r="AK18" s="406"/>
      <c r="AL18" s="406"/>
      <c r="AM18" s="406"/>
      <c r="AN18" s="406"/>
      <c r="AO18" s="406"/>
    </row>
    <row r="19" spans="1:41" ht="15" customHeight="1" thickBot="1" x14ac:dyDescent="0.25">
      <c r="A19" s="1442"/>
      <c r="B19" s="402" t="s">
        <v>350</v>
      </c>
      <c r="C19" s="1446">
        <f>SUM('5.a.sz. melléklet'!C32)</f>
        <v>8351000</v>
      </c>
      <c r="D19" s="1447"/>
      <c r="E19" s="1447"/>
      <c r="F19" s="1447"/>
      <c r="G19" s="1447"/>
      <c r="H19" s="1447"/>
      <c r="I19" s="1447"/>
      <c r="J19" s="1447"/>
      <c r="K19" s="1448"/>
      <c r="L19" s="1443">
        <f>SUM(C19:K19)</f>
        <v>8351000</v>
      </c>
      <c r="M19" s="449"/>
      <c r="N19" s="406"/>
      <c r="O19" s="406"/>
      <c r="P19" s="406"/>
      <c r="Q19" s="406"/>
      <c r="R19" s="406"/>
      <c r="S19" s="406"/>
      <c r="T19" s="406"/>
    </row>
    <row r="20" spans="1:41" ht="25.5" x14ac:dyDescent="0.2">
      <c r="A20" s="511" t="s">
        <v>250</v>
      </c>
      <c r="B20" s="445" t="s">
        <v>276</v>
      </c>
      <c r="C20" s="1177"/>
      <c r="D20" s="1178"/>
      <c r="E20" s="1178"/>
      <c r="F20" s="1178"/>
      <c r="G20" s="1178"/>
      <c r="H20" s="1178"/>
      <c r="I20" s="1178"/>
      <c r="J20" s="1178"/>
      <c r="K20" s="1180"/>
      <c r="L20" s="1181"/>
      <c r="M20" s="449"/>
      <c r="N20" s="406"/>
      <c r="O20" s="406"/>
      <c r="P20" s="406"/>
      <c r="Q20" s="406"/>
      <c r="R20" s="406"/>
      <c r="S20" s="406"/>
      <c r="T20" s="406"/>
    </row>
    <row r="21" spans="1:41" s="447" customFormat="1" ht="15" customHeight="1" thickBot="1" x14ac:dyDescent="0.25">
      <c r="A21" s="400"/>
      <c r="B21" s="401" t="s">
        <v>349</v>
      </c>
      <c r="C21" s="726">
        <f>SUM('5.a.sz. melléklet'!C34)</f>
        <v>8460000</v>
      </c>
      <c r="D21" s="727"/>
      <c r="E21" s="727"/>
      <c r="F21" s="727"/>
      <c r="G21" s="727"/>
      <c r="H21" s="727"/>
      <c r="I21" s="727"/>
      <c r="J21" s="727"/>
      <c r="K21" s="728"/>
      <c r="L21" s="1176">
        <f>SUM(C21:K21)</f>
        <v>8460000</v>
      </c>
      <c r="M21" s="449"/>
      <c r="N21" s="406"/>
      <c r="O21" s="406"/>
      <c r="P21" s="406"/>
      <c r="Q21" s="406"/>
      <c r="R21" s="406"/>
      <c r="S21" s="406"/>
      <c r="T21" s="406"/>
      <c r="U21" s="406"/>
      <c r="V21" s="406"/>
      <c r="W21" s="406"/>
      <c r="X21" s="406"/>
      <c r="Y21" s="406"/>
      <c r="Z21" s="406"/>
      <c r="AA21" s="406"/>
      <c r="AB21" s="406"/>
      <c r="AC21" s="406"/>
      <c r="AD21" s="406"/>
      <c r="AE21" s="406"/>
      <c r="AF21" s="406"/>
      <c r="AG21" s="406"/>
      <c r="AH21" s="406"/>
      <c r="AI21" s="406"/>
      <c r="AJ21" s="406"/>
      <c r="AK21" s="406"/>
      <c r="AL21" s="406"/>
      <c r="AM21" s="406"/>
      <c r="AN21" s="406"/>
      <c r="AO21" s="406"/>
    </row>
    <row r="22" spans="1:41" ht="15" customHeight="1" thickBot="1" x14ac:dyDescent="0.25">
      <c r="A22" s="1449"/>
      <c r="B22" s="1450" t="s">
        <v>350</v>
      </c>
      <c r="C22" s="1451">
        <f>SUM('5.a.sz. melléklet'!C35)</f>
        <v>8460000</v>
      </c>
      <c r="D22" s="1452"/>
      <c r="E22" s="1452"/>
      <c r="F22" s="1452"/>
      <c r="G22" s="1452"/>
      <c r="H22" s="1453"/>
      <c r="I22" s="1452"/>
      <c r="J22" s="1452"/>
      <c r="K22" s="1454"/>
      <c r="L22" s="1455">
        <f>SUM(C22:K22)</f>
        <v>8460000</v>
      </c>
      <c r="M22" s="449"/>
      <c r="N22" s="406"/>
      <c r="O22" s="406"/>
      <c r="P22" s="406"/>
      <c r="Q22" s="406"/>
      <c r="R22" s="406"/>
      <c r="S22" s="406"/>
      <c r="T22" s="406"/>
    </row>
    <row r="23" spans="1:41" s="717" customFormat="1" ht="25.5" x14ac:dyDescent="0.2">
      <c r="A23" s="973" t="s">
        <v>241</v>
      </c>
      <c r="B23" s="967" t="s">
        <v>285</v>
      </c>
      <c r="C23" s="974"/>
      <c r="D23" s="975"/>
      <c r="E23" s="975"/>
      <c r="F23" s="975"/>
      <c r="G23" s="975"/>
      <c r="H23" s="976"/>
      <c r="I23" s="975"/>
      <c r="J23" s="975"/>
      <c r="K23" s="977"/>
      <c r="L23" s="1155"/>
      <c r="M23" s="716"/>
    </row>
    <row r="24" spans="1:41" s="717" customFormat="1" ht="15" customHeight="1" x14ac:dyDescent="0.2">
      <c r="A24" s="1182"/>
      <c r="B24" s="1160" t="s">
        <v>349</v>
      </c>
      <c r="C24" s="1183">
        <f>SUM('16.sz. melléklet'!C30)</f>
        <v>481000</v>
      </c>
      <c r="D24" s="1184"/>
      <c r="E24" s="1184"/>
      <c r="F24" s="1184"/>
      <c r="G24" s="1184"/>
      <c r="H24" s="1185"/>
      <c r="I24" s="1184"/>
      <c r="J24" s="1184"/>
      <c r="K24" s="1186"/>
      <c r="L24" s="1163">
        <f>SUM(C24:K24)</f>
        <v>481000</v>
      </c>
      <c r="M24" s="716"/>
    </row>
    <row r="25" spans="1:41" s="717" customFormat="1" ht="15" customHeight="1" thickBot="1" x14ac:dyDescent="0.25">
      <c r="A25" s="1214"/>
      <c r="B25" s="1170" t="s">
        <v>350</v>
      </c>
      <c r="C25" s="1894">
        <f>SUM('16.sz. melléklet'!C31)</f>
        <v>481000</v>
      </c>
      <c r="D25" s="1456"/>
      <c r="E25" s="1456"/>
      <c r="F25" s="1456"/>
      <c r="G25" s="1456"/>
      <c r="H25" s="1457"/>
      <c r="I25" s="1456"/>
      <c r="J25" s="1456"/>
      <c r="K25" s="1458"/>
      <c r="L25" s="1459">
        <f>SUM(C25:K25)</f>
        <v>481000</v>
      </c>
      <c r="M25" s="716"/>
    </row>
    <row r="26" spans="1:41" ht="15" customHeight="1" x14ac:dyDescent="0.2">
      <c r="A26" s="511" t="s">
        <v>252</v>
      </c>
      <c r="B26" s="445" t="s">
        <v>253</v>
      </c>
      <c r="C26" s="736"/>
      <c r="D26" s="736"/>
      <c r="E26" s="736"/>
      <c r="F26" s="736"/>
      <c r="G26" s="736"/>
      <c r="H26" s="736"/>
      <c r="I26" s="736"/>
      <c r="J26" s="736"/>
      <c r="K26" s="737"/>
      <c r="L26" s="1181"/>
      <c r="M26" s="449"/>
      <c r="N26" s="406"/>
      <c r="O26" s="406"/>
      <c r="P26" s="406"/>
      <c r="Q26" s="406"/>
      <c r="R26" s="406"/>
      <c r="S26" s="406"/>
      <c r="T26" s="406"/>
    </row>
    <row r="27" spans="1:41" s="447" customFormat="1" ht="15" customHeight="1" thickBot="1" x14ac:dyDescent="0.25">
      <c r="A27" s="400"/>
      <c r="B27" s="401" t="s">
        <v>349</v>
      </c>
      <c r="C27" s="721">
        <f>SUM('5.a.sz. melléklet'!C37)</f>
        <v>1016000</v>
      </c>
      <c r="D27" s="721"/>
      <c r="E27" s="721"/>
      <c r="F27" s="721"/>
      <c r="G27" s="721"/>
      <c r="H27" s="721"/>
      <c r="I27" s="721"/>
      <c r="J27" s="721"/>
      <c r="K27" s="722"/>
      <c r="L27" s="1176">
        <f>SUM(C27:K27)</f>
        <v>1016000</v>
      </c>
      <c r="M27" s="449"/>
      <c r="N27" s="406"/>
      <c r="O27" s="406"/>
      <c r="P27" s="406"/>
      <c r="Q27" s="406"/>
      <c r="R27" s="406"/>
      <c r="S27" s="406"/>
      <c r="T27" s="406"/>
      <c r="U27" s="406"/>
      <c r="V27" s="406"/>
      <c r="W27" s="406"/>
      <c r="X27" s="406"/>
      <c r="Y27" s="406"/>
      <c r="Z27" s="406"/>
      <c r="AA27" s="406"/>
      <c r="AB27" s="406"/>
      <c r="AC27" s="406"/>
      <c r="AD27" s="406"/>
      <c r="AE27" s="406"/>
      <c r="AF27" s="406"/>
      <c r="AG27" s="406"/>
      <c r="AH27" s="406"/>
      <c r="AI27" s="406"/>
      <c r="AJ27" s="406"/>
      <c r="AK27" s="406"/>
      <c r="AL27" s="406"/>
      <c r="AM27" s="406"/>
      <c r="AN27" s="406"/>
      <c r="AO27" s="406"/>
    </row>
    <row r="28" spans="1:41" ht="15" customHeight="1" thickBot="1" x14ac:dyDescent="0.25">
      <c r="A28" s="1442"/>
      <c r="B28" s="402" t="s">
        <v>350</v>
      </c>
      <c r="C28" s="723">
        <f>SUM('5.a.sz. melléklet'!C38)</f>
        <v>1016000</v>
      </c>
      <c r="D28" s="723"/>
      <c r="E28" s="723"/>
      <c r="F28" s="723"/>
      <c r="G28" s="723"/>
      <c r="H28" s="723"/>
      <c r="I28" s="723"/>
      <c r="J28" s="723"/>
      <c r="K28" s="724"/>
      <c r="L28" s="1443">
        <f>SUM(C28:K28)</f>
        <v>1016000</v>
      </c>
      <c r="M28" s="449"/>
      <c r="N28" s="406"/>
      <c r="O28" s="406"/>
      <c r="P28" s="406"/>
      <c r="Q28" s="406"/>
      <c r="R28" s="406"/>
      <c r="S28" s="406"/>
      <c r="T28" s="406"/>
    </row>
    <row r="29" spans="1:41" ht="25.5" x14ac:dyDescent="0.2">
      <c r="A29" s="511" t="s">
        <v>254</v>
      </c>
      <c r="B29" s="445" t="s">
        <v>108</v>
      </c>
      <c r="C29" s="736"/>
      <c r="D29" s="736"/>
      <c r="E29" s="736"/>
      <c r="F29" s="736"/>
      <c r="G29" s="736"/>
      <c r="H29" s="736"/>
      <c r="I29" s="736"/>
      <c r="J29" s="736"/>
      <c r="K29" s="737"/>
      <c r="L29" s="1181"/>
      <c r="M29" s="449"/>
      <c r="N29" s="406"/>
      <c r="O29" s="406"/>
      <c r="P29" s="406"/>
      <c r="Q29" s="406"/>
      <c r="R29" s="406"/>
      <c r="S29" s="406"/>
      <c r="T29" s="406"/>
    </row>
    <row r="30" spans="1:41" s="447" customFormat="1" ht="15" customHeight="1" thickBot="1" x14ac:dyDescent="0.25">
      <c r="A30" s="400"/>
      <c r="B30" s="401" t="s">
        <v>349</v>
      </c>
      <c r="C30" s="721">
        <f>SUM('5.a.sz. melléklet'!C40)</f>
        <v>762000</v>
      </c>
      <c r="D30" s="721"/>
      <c r="E30" s="721"/>
      <c r="F30" s="721"/>
      <c r="G30" s="721"/>
      <c r="H30" s="721"/>
      <c r="I30" s="721"/>
      <c r="J30" s="721"/>
      <c r="K30" s="722"/>
      <c r="L30" s="1176">
        <f>SUM(C30:K30)</f>
        <v>762000</v>
      </c>
      <c r="M30" s="449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  <c r="AA30" s="406"/>
      <c r="AB30" s="406"/>
      <c r="AC30" s="406"/>
      <c r="AD30" s="406"/>
      <c r="AE30" s="406"/>
      <c r="AF30" s="406"/>
      <c r="AG30" s="406"/>
      <c r="AH30" s="406"/>
      <c r="AI30" s="406"/>
      <c r="AJ30" s="406"/>
      <c r="AK30" s="406"/>
      <c r="AL30" s="406"/>
      <c r="AM30" s="406"/>
      <c r="AN30" s="406"/>
      <c r="AO30" s="406"/>
    </row>
    <row r="31" spans="1:41" ht="15" customHeight="1" thickBot="1" x14ac:dyDescent="0.25">
      <c r="A31" s="1449"/>
      <c r="B31" s="1450" t="s">
        <v>350</v>
      </c>
      <c r="C31" s="1460">
        <f>SUM('5.a.sz. melléklet'!C41)</f>
        <v>762000</v>
      </c>
      <c r="D31" s="1460"/>
      <c r="E31" s="1460"/>
      <c r="F31" s="1460"/>
      <c r="G31" s="1460"/>
      <c r="H31" s="1460"/>
      <c r="I31" s="1460"/>
      <c r="J31" s="1460"/>
      <c r="K31" s="1461"/>
      <c r="L31" s="1455">
        <f>SUM(C31:K31)</f>
        <v>762000</v>
      </c>
      <c r="M31" s="449"/>
      <c r="N31" s="406"/>
      <c r="O31" s="406"/>
      <c r="P31" s="406"/>
      <c r="Q31" s="406"/>
      <c r="R31" s="406"/>
      <c r="S31" s="406"/>
      <c r="T31" s="406"/>
    </row>
    <row r="32" spans="1:41" ht="25.5" x14ac:dyDescent="0.2">
      <c r="A32" s="511" t="s">
        <v>255</v>
      </c>
      <c r="B32" s="445" t="s">
        <v>161</v>
      </c>
      <c r="C32" s="736"/>
      <c r="D32" s="736"/>
      <c r="E32" s="736"/>
      <c r="F32" s="736"/>
      <c r="G32" s="736"/>
      <c r="H32" s="736"/>
      <c r="I32" s="736"/>
      <c r="J32" s="736"/>
      <c r="K32" s="737"/>
      <c r="L32" s="1181"/>
      <c r="M32" s="449"/>
      <c r="N32" s="406"/>
      <c r="O32" s="406"/>
      <c r="P32" s="406"/>
      <c r="Q32" s="406"/>
      <c r="R32" s="406"/>
      <c r="S32" s="406"/>
      <c r="T32" s="406"/>
    </row>
    <row r="33" spans="1:41" s="447" customFormat="1" ht="15" customHeight="1" thickBot="1" x14ac:dyDescent="0.25">
      <c r="A33" s="400"/>
      <c r="B33" s="401" t="s">
        <v>349</v>
      </c>
      <c r="C33" s="721"/>
      <c r="D33" s="721"/>
      <c r="E33" s="721"/>
      <c r="F33" s="721">
        <f>SUM('5.a.sz. melléklet'!F43)</f>
        <v>12781200</v>
      </c>
      <c r="G33" s="721"/>
      <c r="H33" s="721"/>
      <c r="I33" s="721"/>
      <c r="J33" s="721"/>
      <c r="K33" s="722"/>
      <c r="L33" s="1176">
        <f>SUM(C33:K33)</f>
        <v>12781200</v>
      </c>
      <c r="M33" s="449"/>
      <c r="N33" s="406"/>
      <c r="O33" s="406"/>
      <c r="P33" s="406"/>
      <c r="Q33" s="406"/>
      <c r="R33" s="406"/>
      <c r="S33" s="406"/>
      <c r="T33" s="406"/>
      <c r="U33" s="406"/>
      <c r="V33" s="406"/>
      <c r="W33" s="406"/>
      <c r="X33" s="406"/>
      <c r="Y33" s="406"/>
      <c r="Z33" s="406"/>
      <c r="AA33" s="406"/>
      <c r="AB33" s="406"/>
      <c r="AC33" s="406"/>
      <c r="AD33" s="406"/>
      <c r="AE33" s="406"/>
      <c r="AF33" s="406"/>
      <c r="AG33" s="406"/>
      <c r="AH33" s="406"/>
      <c r="AI33" s="406"/>
      <c r="AJ33" s="406"/>
      <c r="AK33" s="406"/>
      <c r="AL33" s="406"/>
      <c r="AM33" s="406"/>
      <c r="AN33" s="406"/>
      <c r="AO33" s="406"/>
    </row>
    <row r="34" spans="1:41" ht="15" customHeight="1" thickBot="1" x14ac:dyDescent="0.25">
      <c r="A34" s="1449"/>
      <c r="B34" s="1450" t="s">
        <v>350</v>
      </c>
      <c r="C34" s="1460"/>
      <c r="D34" s="1460"/>
      <c r="E34" s="1460"/>
      <c r="F34" s="1460">
        <f>SUM('5.a.sz. melléklet'!F44)</f>
        <v>12781200</v>
      </c>
      <c r="G34" s="1460"/>
      <c r="H34" s="1460"/>
      <c r="I34" s="1460"/>
      <c r="J34" s="1460"/>
      <c r="K34" s="1461"/>
      <c r="L34" s="1455">
        <f>SUM(C34:K34)</f>
        <v>12781200</v>
      </c>
      <c r="M34" s="449"/>
      <c r="N34" s="406"/>
      <c r="O34" s="406"/>
      <c r="P34" s="406"/>
      <c r="Q34" s="406"/>
      <c r="R34" s="406"/>
      <c r="S34" s="406"/>
      <c r="T34" s="406"/>
    </row>
    <row r="35" spans="1:41" ht="25.5" x14ac:dyDescent="0.2">
      <c r="A35" s="511" t="s">
        <v>256</v>
      </c>
      <c r="B35" s="445" t="s">
        <v>302</v>
      </c>
      <c r="C35" s="736"/>
      <c r="D35" s="736"/>
      <c r="E35" s="736"/>
      <c r="F35" s="736"/>
      <c r="G35" s="736"/>
      <c r="H35" s="736"/>
      <c r="I35" s="736"/>
      <c r="J35" s="736"/>
      <c r="K35" s="737"/>
      <c r="L35" s="1181"/>
      <c r="M35" s="449"/>
      <c r="N35" s="406"/>
      <c r="O35" s="406"/>
      <c r="P35" s="406"/>
      <c r="Q35" s="406"/>
      <c r="R35" s="406"/>
      <c r="S35" s="406"/>
      <c r="T35" s="406"/>
    </row>
    <row r="36" spans="1:41" s="447" customFormat="1" ht="15" customHeight="1" thickBot="1" x14ac:dyDescent="0.25">
      <c r="A36" s="400"/>
      <c r="B36" s="401" t="s">
        <v>349</v>
      </c>
      <c r="C36" s="721"/>
      <c r="D36" s="721"/>
      <c r="E36" s="721"/>
      <c r="F36" s="721">
        <f>SUM('5.a.sz. melléklet'!F46)</f>
        <v>334800</v>
      </c>
      <c r="G36" s="721"/>
      <c r="H36" s="721"/>
      <c r="I36" s="721"/>
      <c r="J36" s="721"/>
      <c r="K36" s="722"/>
      <c r="L36" s="1176">
        <f>SUM(C36:K36)</f>
        <v>334800</v>
      </c>
      <c r="M36" s="449"/>
      <c r="N36" s="406"/>
      <c r="O36" s="406"/>
      <c r="P36" s="406"/>
      <c r="Q36" s="406"/>
      <c r="R36" s="406"/>
      <c r="S36" s="406"/>
      <c r="T36" s="406"/>
      <c r="U36" s="406"/>
      <c r="V36" s="406"/>
      <c r="W36" s="406"/>
      <c r="X36" s="406"/>
      <c r="Y36" s="406"/>
      <c r="Z36" s="406"/>
      <c r="AA36" s="406"/>
      <c r="AB36" s="406"/>
      <c r="AC36" s="406"/>
      <c r="AD36" s="406"/>
      <c r="AE36" s="406"/>
      <c r="AF36" s="406"/>
      <c r="AG36" s="406"/>
      <c r="AH36" s="406"/>
      <c r="AI36" s="406"/>
      <c r="AJ36" s="406"/>
      <c r="AK36" s="406"/>
      <c r="AL36" s="406"/>
      <c r="AM36" s="406"/>
      <c r="AN36" s="406"/>
      <c r="AO36" s="406"/>
    </row>
    <row r="37" spans="1:41" ht="15" customHeight="1" thickBot="1" x14ac:dyDescent="0.25">
      <c r="A37" s="1449"/>
      <c r="B37" s="1450" t="s">
        <v>350</v>
      </c>
      <c r="C37" s="1460"/>
      <c r="D37" s="1460"/>
      <c r="E37" s="1460"/>
      <c r="F37" s="1460">
        <f>SUM('5.a.sz. melléklet'!F47)</f>
        <v>334800</v>
      </c>
      <c r="G37" s="1460"/>
      <c r="H37" s="1460"/>
      <c r="I37" s="1460"/>
      <c r="J37" s="1460"/>
      <c r="K37" s="1461"/>
      <c r="L37" s="1455">
        <f>SUM(C37:K37)</f>
        <v>334800</v>
      </c>
      <c r="M37" s="449"/>
      <c r="N37" s="406"/>
      <c r="O37" s="406"/>
      <c r="P37" s="406"/>
      <c r="Q37" s="406"/>
      <c r="R37" s="406"/>
      <c r="S37" s="406"/>
      <c r="T37" s="406"/>
    </row>
    <row r="38" spans="1:41" ht="15" customHeight="1" x14ac:dyDescent="0.2">
      <c r="A38" s="446" t="s">
        <v>233</v>
      </c>
      <c r="B38" s="445" t="s">
        <v>3</v>
      </c>
      <c r="C38" s="736"/>
      <c r="D38" s="736"/>
      <c r="E38" s="736"/>
      <c r="F38" s="736"/>
      <c r="G38" s="736"/>
      <c r="H38" s="736"/>
      <c r="I38" s="736"/>
      <c r="J38" s="736"/>
      <c r="K38" s="737"/>
      <c r="L38" s="1181"/>
      <c r="M38" s="449"/>
      <c r="N38" s="406"/>
      <c r="O38" s="406"/>
      <c r="P38" s="406"/>
      <c r="Q38" s="406"/>
      <c r="R38" s="406"/>
      <c r="S38" s="406"/>
      <c r="T38" s="406"/>
    </row>
    <row r="39" spans="1:41" s="447" customFormat="1" ht="15" customHeight="1" thickBot="1" x14ac:dyDescent="0.25">
      <c r="A39" s="403"/>
      <c r="B39" s="401" t="s">
        <v>349</v>
      </c>
      <c r="C39" s="721">
        <f>SUM('15.sz.melléklet'!C27)</f>
        <v>185000</v>
      </c>
      <c r="D39" s="721"/>
      <c r="E39" s="721"/>
      <c r="F39" s="721"/>
      <c r="G39" s="721"/>
      <c r="H39" s="721"/>
      <c r="I39" s="721"/>
      <c r="J39" s="721"/>
      <c r="K39" s="722"/>
      <c r="L39" s="1176">
        <f>SUM(C39:K39)</f>
        <v>185000</v>
      </c>
      <c r="M39" s="449"/>
      <c r="N39" s="406"/>
      <c r="O39" s="406"/>
      <c r="P39" s="406"/>
      <c r="Q39" s="406"/>
      <c r="R39" s="406"/>
      <c r="S39" s="406"/>
      <c r="T39" s="406"/>
      <c r="U39" s="406"/>
      <c r="V39" s="406"/>
      <c r="W39" s="406"/>
      <c r="X39" s="406"/>
      <c r="Y39" s="406"/>
      <c r="Z39" s="406"/>
      <c r="AA39" s="406"/>
      <c r="AB39" s="406"/>
      <c r="AC39" s="406"/>
      <c r="AD39" s="406"/>
      <c r="AE39" s="406"/>
      <c r="AF39" s="406"/>
      <c r="AG39" s="406"/>
      <c r="AH39" s="406"/>
      <c r="AI39" s="406"/>
      <c r="AJ39" s="406"/>
      <c r="AK39" s="406"/>
      <c r="AL39" s="406"/>
      <c r="AM39" s="406"/>
      <c r="AN39" s="406"/>
      <c r="AO39" s="406"/>
    </row>
    <row r="40" spans="1:41" ht="15" customHeight="1" thickBot="1" x14ac:dyDescent="0.25">
      <c r="A40" s="1462"/>
      <c r="B40" s="1450" t="s">
        <v>350</v>
      </c>
      <c r="C40" s="1460">
        <f>SUM('15.sz.melléklet'!C28)</f>
        <v>185000</v>
      </c>
      <c r="D40" s="1460"/>
      <c r="E40" s="1460"/>
      <c r="F40" s="1460"/>
      <c r="G40" s="1460"/>
      <c r="H40" s="1460"/>
      <c r="I40" s="1460"/>
      <c r="J40" s="1460"/>
      <c r="K40" s="1461"/>
      <c r="L40" s="1455">
        <f>SUM(C40:K40)</f>
        <v>185000</v>
      </c>
      <c r="M40" s="449"/>
      <c r="N40" s="406"/>
      <c r="O40" s="406"/>
      <c r="P40" s="406"/>
      <c r="Q40" s="406"/>
      <c r="R40" s="406"/>
      <c r="S40" s="406"/>
      <c r="T40" s="406"/>
    </row>
    <row r="41" spans="1:41" ht="19.5" customHeight="1" x14ac:dyDescent="0.2">
      <c r="A41" s="446" t="s">
        <v>234</v>
      </c>
      <c r="B41" s="445" t="s">
        <v>96</v>
      </c>
      <c r="C41" s="736"/>
      <c r="D41" s="736"/>
      <c r="E41" s="736"/>
      <c r="F41" s="736"/>
      <c r="G41" s="736"/>
      <c r="H41" s="736"/>
      <c r="I41" s="736"/>
      <c r="J41" s="736"/>
      <c r="K41" s="737"/>
      <c r="L41" s="1181"/>
      <c r="M41" s="449"/>
      <c r="N41" s="406"/>
      <c r="O41" s="406"/>
      <c r="P41" s="406"/>
      <c r="Q41" s="406"/>
      <c r="R41" s="406"/>
      <c r="S41" s="406"/>
      <c r="T41" s="406"/>
    </row>
    <row r="42" spans="1:41" s="447" customFormat="1" ht="15" customHeight="1" thickBot="1" x14ac:dyDescent="0.25">
      <c r="A42" s="403"/>
      <c r="B42" s="401" t="s">
        <v>349</v>
      </c>
      <c r="C42" s="721">
        <f>SUM('15.sz.melléklet'!C24)</f>
        <v>6650000</v>
      </c>
      <c r="D42" s="721"/>
      <c r="E42" s="721"/>
      <c r="F42" s="721">
        <f>SUM('15.sz.melléklet'!E24)</f>
        <v>1300000</v>
      </c>
      <c r="G42" s="721"/>
      <c r="H42" s="721"/>
      <c r="I42" s="721"/>
      <c r="J42" s="721"/>
      <c r="K42" s="722"/>
      <c r="L42" s="1176">
        <f>SUM(C42:K42)</f>
        <v>7950000</v>
      </c>
      <c r="M42" s="449"/>
      <c r="N42" s="406"/>
      <c r="O42" s="406"/>
      <c r="P42" s="406"/>
      <c r="Q42" s="406"/>
      <c r="R42" s="406"/>
      <c r="S42" s="406"/>
      <c r="T42" s="406"/>
      <c r="U42" s="406"/>
      <c r="V42" s="406"/>
      <c r="W42" s="406"/>
      <c r="X42" s="406"/>
      <c r="Y42" s="406"/>
      <c r="Z42" s="406"/>
      <c r="AA42" s="406"/>
      <c r="AB42" s="406"/>
      <c r="AC42" s="406"/>
      <c r="AD42" s="406"/>
      <c r="AE42" s="406"/>
      <c r="AF42" s="406"/>
      <c r="AG42" s="406"/>
      <c r="AH42" s="406"/>
      <c r="AI42" s="406"/>
      <c r="AJ42" s="406"/>
      <c r="AK42" s="406"/>
      <c r="AL42" s="406"/>
      <c r="AM42" s="406"/>
      <c r="AN42" s="406"/>
      <c r="AO42" s="406"/>
    </row>
    <row r="43" spans="1:41" ht="15" customHeight="1" thickBot="1" x14ac:dyDescent="0.25">
      <c r="A43" s="1462"/>
      <c r="B43" s="1450" t="s">
        <v>350</v>
      </c>
      <c r="C43" s="1460">
        <f>SUM('15.sz.melléklet'!C25)</f>
        <v>6650000</v>
      </c>
      <c r="D43" s="1460"/>
      <c r="E43" s="1460"/>
      <c r="F43" s="723">
        <f>SUM('15.sz.melléklet'!E25)</f>
        <v>1300000</v>
      </c>
      <c r="G43" s="1460"/>
      <c r="H43" s="1460"/>
      <c r="I43" s="1460"/>
      <c r="J43" s="1460"/>
      <c r="K43" s="1461"/>
      <c r="L43" s="1455">
        <f>SUM(C43:K43)</f>
        <v>7950000</v>
      </c>
      <c r="M43" s="449"/>
      <c r="N43" s="406"/>
      <c r="O43" s="406"/>
      <c r="P43" s="406"/>
      <c r="Q43" s="406"/>
      <c r="R43" s="406"/>
      <c r="S43" s="406"/>
      <c r="T43" s="406"/>
    </row>
    <row r="44" spans="1:41" ht="25.5" x14ac:dyDescent="0.2">
      <c r="A44" s="446" t="s">
        <v>259</v>
      </c>
      <c r="B44" s="445" t="s">
        <v>260</v>
      </c>
      <c r="C44" s="736"/>
      <c r="D44" s="736"/>
      <c r="E44" s="736"/>
      <c r="F44" s="736"/>
      <c r="G44" s="736"/>
      <c r="H44" s="736"/>
      <c r="I44" s="736"/>
      <c r="J44" s="736"/>
      <c r="K44" s="737"/>
      <c r="L44" s="1181"/>
      <c r="M44" s="449"/>
      <c r="N44" s="406"/>
      <c r="O44" s="406"/>
      <c r="P44" s="406"/>
      <c r="Q44" s="406"/>
      <c r="R44" s="406"/>
      <c r="S44" s="406"/>
      <c r="T44" s="406"/>
    </row>
    <row r="45" spans="1:41" s="447" customFormat="1" ht="15" customHeight="1" thickBot="1" x14ac:dyDescent="0.25">
      <c r="A45" s="403"/>
      <c r="B45" s="401" t="s">
        <v>349</v>
      </c>
      <c r="C45" s="721">
        <f>SUM('5.a.sz. melléklet'!C49)</f>
        <v>508000</v>
      </c>
      <c r="D45" s="721"/>
      <c r="E45" s="721"/>
      <c r="F45" s="721"/>
      <c r="G45" s="721"/>
      <c r="H45" s="721"/>
      <c r="I45" s="721"/>
      <c r="J45" s="721"/>
      <c r="K45" s="722"/>
      <c r="L45" s="1176">
        <f>SUM(C45:K45)</f>
        <v>508000</v>
      </c>
      <c r="M45" s="449"/>
      <c r="N45" s="406"/>
      <c r="O45" s="406"/>
      <c r="P45" s="406"/>
      <c r="Q45" s="406"/>
      <c r="R45" s="406"/>
      <c r="S45" s="406"/>
      <c r="T45" s="406"/>
      <c r="U45" s="406"/>
      <c r="V45" s="406"/>
      <c r="W45" s="406"/>
      <c r="X45" s="406"/>
      <c r="Y45" s="406"/>
      <c r="Z45" s="406"/>
      <c r="AA45" s="406"/>
      <c r="AB45" s="406"/>
      <c r="AC45" s="406"/>
      <c r="AD45" s="406"/>
      <c r="AE45" s="406"/>
      <c r="AF45" s="406"/>
      <c r="AG45" s="406"/>
      <c r="AH45" s="406"/>
      <c r="AI45" s="406"/>
      <c r="AJ45" s="406"/>
      <c r="AK45" s="406"/>
      <c r="AL45" s="406"/>
      <c r="AM45" s="406"/>
      <c r="AN45" s="406"/>
      <c r="AO45" s="406"/>
    </row>
    <row r="46" spans="1:41" ht="15" customHeight="1" thickBot="1" x14ac:dyDescent="0.25">
      <c r="A46" s="446"/>
      <c r="B46" s="445" t="s">
        <v>350</v>
      </c>
      <c r="C46" s="736">
        <f>SUM('5.a.sz. melléklet'!C50)</f>
        <v>508000</v>
      </c>
      <c r="D46" s="736"/>
      <c r="E46" s="736"/>
      <c r="F46" s="736"/>
      <c r="G46" s="736"/>
      <c r="H46" s="736"/>
      <c r="I46" s="736"/>
      <c r="J46" s="736"/>
      <c r="K46" s="737"/>
      <c r="L46" s="1181">
        <f>SUM(C46:K46)</f>
        <v>508000</v>
      </c>
      <c r="M46" s="449"/>
      <c r="N46" s="406"/>
      <c r="O46" s="406"/>
      <c r="P46" s="406"/>
      <c r="Q46" s="406"/>
      <c r="R46" s="406"/>
      <c r="S46" s="406"/>
      <c r="T46" s="406"/>
    </row>
    <row r="47" spans="1:41" ht="25.5" x14ac:dyDescent="0.2">
      <c r="A47" s="429" t="s">
        <v>274</v>
      </c>
      <c r="B47" s="715" t="s">
        <v>275</v>
      </c>
      <c r="C47" s="729"/>
      <c r="D47" s="729"/>
      <c r="E47" s="729"/>
      <c r="F47" s="729"/>
      <c r="G47" s="729"/>
      <c r="H47" s="729"/>
      <c r="I47" s="729"/>
      <c r="J47" s="729"/>
      <c r="K47" s="730"/>
      <c r="L47" s="731">
        <f>SUM(C47:K47)</f>
        <v>0</v>
      </c>
      <c r="M47" s="449"/>
      <c r="N47" s="406"/>
      <c r="O47" s="406"/>
      <c r="P47" s="406"/>
      <c r="Q47" s="406"/>
      <c r="R47" s="406"/>
      <c r="S47" s="406"/>
      <c r="T47" s="406"/>
    </row>
    <row r="48" spans="1:41" s="717" customFormat="1" ht="15" customHeight="1" x14ac:dyDescent="0.2">
      <c r="A48" s="1182"/>
      <c r="B48" s="1160" t="s">
        <v>349</v>
      </c>
      <c r="C48" s="1161"/>
      <c r="D48" s="1161"/>
      <c r="E48" s="1161"/>
      <c r="F48" s="1161">
        <f>'5.a.sz. melléklet'!F52</f>
        <v>8000000</v>
      </c>
      <c r="G48" s="1161">
        <f>SUM('5.a.sz. melléklet'!G52)</f>
        <v>16387410.555555556</v>
      </c>
      <c r="H48" s="1161"/>
      <c r="I48" s="1161"/>
      <c r="J48" s="1161"/>
      <c r="K48" s="1187"/>
      <c r="L48" s="1163">
        <f>SUM(C48:K48)</f>
        <v>24387410.555555556</v>
      </c>
      <c r="M48" s="716"/>
    </row>
    <row r="49" spans="1:41" s="717" customFormat="1" ht="15" customHeight="1" thickBot="1" x14ac:dyDescent="0.25">
      <c r="A49" s="1214"/>
      <c r="B49" s="1170" t="s">
        <v>350</v>
      </c>
      <c r="C49" s="1171"/>
      <c r="D49" s="1171"/>
      <c r="E49" s="1171"/>
      <c r="F49" s="1895">
        <f>'5.a.sz. melléklet'!F53</f>
        <v>8000000</v>
      </c>
      <c r="G49" s="1895">
        <f>SUM('5.a.sz. melléklet'!G53)</f>
        <v>16387410.555555556</v>
      </c>
      <c r="H49" s="1171"/>
      <c r="I49" s="1171"/>
      <c r="J49" s="1171"/>
      <c r="K49" s="1215"/>
      <c r="L49" s="1459">
        <f>SUM(F49:K49)</f>
        <v>24387410.555555556</v>
      </c>
      <c r="M49" s="716"/>
    </row>
    <row r="50" spans="1:41" ht="38.25" x14ac:dyDescent="0.2">
      <c r="A50" s="511" t="s">
        <v>227</v>
      </c>
      <c r="B50" s="445" t="s">
        <v>411</v>
      </c>
      <c r="C50" s="733"/>
      <c r="D50" s="733"/>
      <c r="E50" s="733"/>
      <c r="F50" s="733"/>
      <c r="G50" s="733"/>
      <c r="H50" s="733"/>
      <c r="I50" s="733"/>
      <c r="J50" s="733"/>
      <c r="K50" s="734"/>
      <c r="L50" s="1188"/>
      <c r="M50" s="449"/>
      <c r="N50" s="406"/>
      <c r="O50" s="406"/>
      <c r="P50" s="406"/>
      <c r="Q50" s="406"/>
      <c r="R50" s="406"/>
      <c r="S50" s="406"/>
      <c r="T50" s="406"/>
    </row>
    <row r="51" spans="1:41" s="447" customFormat="1" ht="15" customHeight="1" thickBot="1" x14ac:dyDescent="0.25">
      <c r="A51" s="400"/>
      <c r="B51" s="401" t="s">
        <v>349</v>
      </c>
      <c r="C51" s="735"/>
      <c r="D51" s="735"/>
      <c r="E51" s="721"/>
      <c r="F51" s="721"/>
      <c r="G51" s="721"/>
      <c r="H51" s="721"/>
      <c r="I51" s="721"/>
      <c r="J51" s="721"/>
      <c r="K51" s="722"/>
      <c r="L51" s="1163">
        <f>SUM(C51:K51)</f>
        <v>0</v>
      </c>
      <c r="M51" s="449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  <c r="AA51" s="406"/>
      <c r="AB51" s="406"/>
      <c r="AC51" s="406"/>
      <c r="AD51" s="406"/>
      <c r="AE51" s="406"/>
      <c r="AF51" s="406"/>
      <c r="AG51" s="406"/>
      <c r="AH51" s="406"/>
      <c r="AI51" s="406"/>
      <c r="AJ51" s="406"/>
      <c r="AK51" s="406"/>
      <c r="AL51" s="406"/>
      <c r="AM51" s="406"/>
      <c r="AN51" s="406"/>
      <c r="AO51" s="406"/>
    </row>
    <row r="52" spans="1:41" ht="15" customHeight="1" thickBot="1" x14ac:dyDescent="0.25">
      <c r="A52" s="1449"/>
      <c r="B52" s="1450" t="s">
        <v>350</v>
      </c>
      <c r="C52" s="1463"/>
      <c r="D52" s="1463"/>
      <c r="E52" s="1460"/>
      <c r="F52" s="1460"/>
      <c r="G52" s="1460"/>
      <c r="H52" s="1460"/>
      <c r="I52" s="1460"/>
      <c r="J52" s="1460"/>
      <c r="K52" s="1461"/>
      <c r="L52" s="1459">
        <f>SUM(C52:K52)</f>
        <v>0</v>
      </c>
      <c r="M52" s="449"/>
      <c r="N52" s="406"/>
      <c r="O52" s="406"/>
      <c r="P52" s="406"/>
      <c r="Q52" s="406"/>
      <c r="R52" s="406"/>
      <c r="S52" s="406"/>
      <c r="T52" s="406"/>
    </row>
    <row r="53" spans="1:41" ht="25.5" x14ac:dyDescent="0.2">
      <c r="A53" s="511" t="s">
        <v>229</v>
      </c>
      <c r="B53" s="445" t="s">
        <v>412</v>
      </c>
      <c r="C53" s="733"/>
      <c r="D53" s="733"/>
      <c r="E53" s="736"/>
      <c r="F53" s="736"/>
      <c r="G53" s="736"/>
      <c r="H53" s="736"/>
      <c r="I53" s="736"/>
      <c r="J53" s="736"/>
      <c r="K53" s="737"/>
      <c r="L53" s="1155"/>
      <c r="M53" s="449"/>
      <c r="N53" s="406"/>
      <c r="O53" s="406"/>
      <c r="P53" s="406"/>
      <c r="Q53" s="406"/>
      <c r="R53" s="406"/>
      <c r="S53" s="406"/>
      <c r="T53" s="406"/>
    </row>
    <row r="54" spans="1:41" s="447" customFormat="1" ht="15" customHeight="1" thickBot="1" x14ac:dyDescent="0.25">
      <c r="A54" s="400"/>
      <c r="B54" s="401" t="s">
        <v>349</v>
      </c>
      <c r="C54" s="735"/>
      <c r="D54" s="735"/>
      <c r="E54" s="721"/>
      <c r="F54" s="721"/>
      <c r="G54" s="721"/>
      <c r="H54" s="721"/>
      <c r="I54" s="721"/>
      <c r="J54" s="721"/>
      <c r="K54" s="722"/>
      <c r="L54" s="1163">
        <f>SUM(C54:K54)</f>
        <v>0</v>
      </c>
      <c r="M54" s="449"/>
      <c r="N54" s="406"/>
      <c r="O54" s="406"/>
      <c r="P54" s="406"/>
      <c r="Q54" s="406"/>
      <c r="R54" s="406"/>
      <c r="S54" s="406"/>
      <c r="T54" s="406"/>
      <c r="U54" s="406"/>
      <c r="V54" s="406"/>
      <c r="W54" s="406"/>
      <c r="X54" s="406"/>
      <c r="Y54" s="406"/>
      <c r="Z54" s="406"/>
      <c r="AA54" s="406"/>
      <c r="AB54" s="406"/>
      <c r="AC54" s="406"/>
      <c r="AD54" s="406"/>
      <c r="AE54" s="406"/>
      <c r="AF54" s="406"/>
      <c r="AG54" s="406"/>
      <c r="AH54" s="406"/>
      <c r="AI54" s="406"/>
      <c r="AJ54" s="406"/>
      <c r="AK54" s="406"/>
      <c r="AL54" s="406"/>
      <c r="AM54" s="406"/>
      <c r="AN54" s="406"/>
      <c r="AO54" s="406"/>
    </row>
    <row r="55" spans="1:41" ht="15" customHeight="1" thickBot="1" x14ac:dyDescent="0.25">
      <c r="A55" s="1442"/>
      <c r="B55" s="402" t="s">
        <v>350</v>
      </c>
      <c r="C55" s="1464"/>
      <c r="D55" s="1464"/>
      <c r="E55" s="723"/>
      <c r="F55" s="723"/>
      <c r="G55" s="723"/>
      <c r="H55" s="723"/>
      <c r="I55" s="723"/>
      <c r="J55" s="723"/>
      <c r="K55" s="724"/>
      <c r="L55" s="732">
        <f>SUM(E55:K55)</f>
        <v>0</v>
      </c>
      <c r="M55" s="449"/>
      <c r="N55" s="406"/>
      <c r="O55" s="406"/>
      <c r="P55" s="406"/>
      <c r="Q55" s="406"/>
      <c r="R55" s="406"/>
      <c r="S55" s="406"/>
      <c r="T55" s="406"/>
    </row>
    <row r="56" spans="1:41" ht="25.5" x14ac:dyDescent="0.2">
      <c r="A56" s="446" t="s">
        <v>377</v>
      </c>
      <c r="B56" s="445" t="s">
        <v>380</v>
      </c>
      <c r="C56" s="736"/>
      <c r="D56" s="736"/>
      <c r="E56" s="736"/>
      <c r="F56" s="736"/>
      <c r="G56" s="736"/>
      <c r="H56" s="736"/>
      <c r="I56" s="736"/>
      <c r="J56" s="736"/>
      <c r="K56" s="737"/>
      <c r="L56" s="1181"/>
      <c r="M56" s="449"/>
      <c r="N56" s="406"/>
      <c r="O56" s="406"/>
      <c r="P56" s="406"/>
      <c r="Q56" s="406"/>
      <c r="R56" s="406"/>
      <c r="S56" s="406"/>
      <c r="T56" s="406"/>
    </row>
    <row r="57" spans="1:41" s="447" customFormat="1" ht="15" customHeight="1" thickBot="1" x14ac:dyDescent="0.25">
      <c r="A57" s="403"/>
      <c r="B57" s="401" t="s">
        <v>349</v>
      </c>
      <c r="C57" s="721">
        <f>SUM('5.a.sz. melléklet'!C55+'14.sz.melléklet'!C33)</f>
        <v>13992000</v>
      </c>
      <c r="D57" s="721"/>
      <c r="E57" s="721">
        <f>SUM('5.a.sz. melléklet'!E55)</f>
        <v>0</v>
      </c>
      <c r="F57" s="721"/>
      <c r="G57" s="721"/>
      <c r="H57" s="721"/>
      <c r="I57" s="721"/>
      <c r="J57" s="721"/>
      <c r="K57" s="722"/>
      <c r="L57" s="1176">
        <f>SUM(C57:K57)</f>
        <v>13992000</v>
      </c>
      <c r="M57" s="449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  <c r="AA57" s="406"/>
      <c r="AB57" s="406"/>
      <c r="AC57" s="406"/>
      <c r="AD57" s="406"/>
      <c r="AE57" s="406"/>
      <c r="AF57" s="406"/>
      <c r="AG57" s="406"/>
      <c r="AH57" s="406"/>
      <c r="AI57" s="406"/>
      <c r="AJ57" s="406"/>
      <c r="AK57" s="406"/>
      <c r="AL57" s="406"/>
      <c r="AM57" s="406"/>
      <c r="AN57" s="406"/>
      <c r="AO57" s="406"/>
    </row>
    <row r="58" spans="1:41" ht="15" customHeight="1" thickBot="1" x14ac:dyDescent="0.25">
      <c r="A58" s="1462"/>
      <c r="B58" s="1450" t="s">
        <v>350</v>
      </c>
      <c r="C58" s="1460">
        <f>SUM('5.a.sz. melléklet'!C56+'14.sz.melléklet'!C34)</f>
        <v>13992000</v>
      </c>
      <c r="D58" s="1460"/>
      <c r="E58" s="1460">
        <f>SUM('5.a.sz. melléklet'!E56)</f>
        <v>0</v>
      </c>
      <c r="F58" s="1460"/>
      <c r="G58" s="1460"/>
      <c r="H58" s="1460"/>
      <c r="I58" s="1460"/>
      <c r="J58" s="1460"/>
      <c r="K58" s="1461"/>
      <c r="L58" s="1455">
        <f>SUM(C58:K58)</f>
        <v>13992000</v>
      </c>
      <c r="M58" s="449"/>
      <c r="N58" s="406"/>
      <c r="O58" s="406"/>
      <c r="P58" s="406"/>
      <c r="Q58" s="406"/>
      <c r="R58" s="406"/>
      <c r="S58" s="406"/>
      <c r="T58" s="406"/>
    </row>
    <row r="59" spans="1:41" ht="15" customHeight="1" x14ac:dyDescent="0.2">
      <c r="A59" s="511" t="s">
        <v>261</v>
      </c>
      <c r="B59" s="445" t="s">
        <v>111</v>
      </c>
      <c r="C59" s="736"/>
      <c r="D59" s="736"/>
      <c r="E59" s="736"/>
      <c r="F59" s="736"/>
      <c r="G59" s="736"/>
      <c r="H59" s="736"/>
      <c r="I59" s="736"/>
      <c r="J59" s="736"/>
      <c r="K59" s="737"/>
      <c r="L59" s="1181"/>
      <c r="M59" s="449"/>
      <c r="N59" s="406"/>
      <c r="O59" s="406"/>
      <c r="P59" s="406"/>
      <c r="Q59" s="406"/>
      <c r="R59" s="406"/>
      <c r="S59" s="406"/>
      <c r="T59" s="406"/>
    </row>
    <row r="60" spans="1:41" s="447" customFormat="1" ht="15" customHeight="1" thickBot="1" x14ac:dyDescent="0.25">
      <c r="A60" s="400"/>
      <c r="B60" s="401" t="s">
        <v>349</v>
      </c>
      <c r="C60" s="721">
        <f>SUM('5.a.sz. melléklet'!C58)</f>
        <v>889000</v>
      </c>
      <c r="D60" s="721"/>
      <c r="E60" s="721"/>
      <c r="F60" s="721"/>
      <c r="G60" s="721"/>
      <c r="H60" s="721"/>
      <c r="I60" s="721"/>
      <c r="J60" s="721"/>
      <c r="K60" s="722"/>
      <c r="L60" s="1176">
        <f>SUM(C60:K60)</f>
        <v>889000</v>
      </c>
      <c r="M60" s="449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  <c r="AA60" s="406"/>
      <c r="AB60" s="406"/>
      <c r="AC60" s="406"/>
      <c r="AD60" s="406"/>
      <c r="AE60" s="406"/>
      <c r="AF60" s="406"/>
      <c r="AG60" s="406"/>
      <c r="AH60" s="406"/>
      <c r="AI60" s="406"/>
      <c r="AJ60" s="406"/>
      <c r="AK60" s="406"/>
      <c r="AL60" s="406"/>
      <c r="AM60" s="406"/>
      <c r="AN60" s="406"/>
      <c r="AO60" s="406"/>
    </row>
    <row r="61" spans="1:41" ht="15" customHeight="1" thickBot="1" x14ac:dyDescent="0.25">
      <c r="A61" s="1449"/>
      <c r="B61" s="1450" t="s">
        <v>350</v>
      </c>
      <c r="C61" s="723">
        <f>SUM('5.a.sz. melléklet'!C59)</f>
        <v>889000</v>
      </c>
      <c r="D61" s="1460"/>
      <c r="E61" s="1460"/>
      <c r="F61" s="1460"/>
      <c r="G61" s="1460"/>
      <c r="H61" s="1460"/>
      <c r="I61" s="1460"/>
      <c r="J61" s="1460"/>
      <c r="K61" s="1461"/>
      <c r="L61" s="1455">
        <f>SUM(C61:K61)</f>
        <v>889000</v>
      </c>
      <c r="M61" s="449"/>
      <c r="N61" s="406"/>
      <c r="O61" s="406"/>
      <c r="P61" s="406"/>
      <c r="Q61" s="406"/>
      <c r="R61" s="406"/>
      <c r="S61" s="406"/>
      <c r="T61" s="406"/>
    </row>
    <row r="62" spans="1:41" ht="25.5" x14ac:dyDescent="0.2">
      <c r="A62" s="446" t="s">
        <v>262</v>
      </c>
      <c r="B62" s="445" t="s">
        <v>409</v>
      </c>
      <c r="C62" s="733"/>
      <c r="D62" s="736"/>
      <c r="E62" s="736"/>
      <c r="F62" s="736"/>
      <c r="G62" s="736"/>
      <c r="H62" s="736"/>
      <c r="I62" s="736"/>
      <c r="J62" s="736"/>
      <c r="K62" s="737"/>
      <c r="L62" s="1155"/>
      <c r="M62" s="449"/>
      <c r="N62" s="406"/>
      <c r="O62" s="406"/>
      <c r="P62" s="406"/>
      <c r="Q62" s="406"/>
      <c r="R62" s="406"/>
      <c r="S62" s="406"/>
      <c r="T62" s="406"/>
    </row>
    <row r="63" spans="1:41" s="447" customFormat="1" ht="15" customHeight="1" thickBot="1" x14ac:dyDescent="0.25">
      <c r="A63" s="403"/>
      <c r="B63" s="401" t="s">
        <v>349</v>
      </c>
      <c r="C63" s="735"/>
      <c r="D63" s="721"/>
      <c r="E63" s="721"/>
      <c r="F63" s="721">
        <f>SUM('5.a.sz. melléklet'!F61)</f>
        <v>0</v>
      </c>
      <c r="G63" s="721"/>
      <c r="H63" s="721"/>
      <c r="I63" s="721"/>
      <c r="J63" s="721"/>
      <c r="K63" s="722"/>
      <c r="L63" s="1163">
        <f>SUM(C63:K63)</f>
        <v>0</v>
      </c>
      <c r="M63" s="449"/>
      <c r="N63" s="406"/>
      <c r="O63" s="406"/>
      <c r="P63" s="406"/>
      <c r="Q63" s="406"/>
      <c r="R63" s="406"/>
      <c r="S63" s="406"/>
      <c r="T63" s="406"/>
      <c r="U63" s="406"/>
      <c r="V63" s="406"/>
      <c r="W63" s="406"/>
      <c r="X63" s="406"/>
      <c r="Y63" s="406"/>
      <c r="Z63" s="406"/>
      <c r="AA63" s="406"/>
      <c r="AB63" s="406"/>
      <c r="AC63" s="406"/>
      <c r="AD63" s="406"/>
      <c r="AE63" s="406"/>
      <c r="AF63" s="406"/>
      <c r="AG63" s="406"/>
      <c r="AH63" s="406"/>
      <c r="AI63" s="406"/>
      <c r="AJ63" s="406"/>
      <c r="AK63" s="406"/>
      <c r="AL63" s="406"/>
      <c r="AM63" s="406"/>
      <c r="AN63" s="406"/>
      <c r="AO63" s="406"/>
    </row>
    <row r="64" spans="1:41" ht="15" customHeight="1" thickBot="1" x14ac:dyDescent="0.25">
      <c r="A64" s="1462"/>
      <c r="B64" s="1450" t="s">
        <v>350</v>
      </c>
      <c r="C64" s="1463"/>
      <c r="D64" s="1460"/>
      <c r="E64" s="1460"/>
      <c r="F64" s="1460"/>
      <c r="G64" s="1460"/>
      <c r="H64" s="1460"/>
      <c r="I64" s="1460"/>
      <c r="J64" s="1460"/>
      <c r="K64" s="1461"/>
      <c r="L64" s="1459">
        <f>SUM(C64:K64)</f>
        <v>0</v>
      </c>
      <c r="M64" s="449"/>
      <c r="N64" s="406"/>
      <c r="O64" s="406"/>
      <c r="P64" s="406"/>
      <c r="Q64" s="406"/>
      <c r="R64" s="406"/>
      <c r="S64" s="406"/>
      <c r="T64" s="406"/>
    </row>
    <row r="65" spans="1:20" ht="38.25" x14ac:dyDescent="0.2">
      <c r="A65" s="966" t="s">
        <v>452</v>
      </c>
      <c r="B65" s="967" t="s">
        <v>453</v>
      </c>
      <c r="C65" s="968"/>
      <c r="D65" s="968"/>
      <c r="E65" s="968"/>
      <c r="F65" s="968"/>
      <c r="G65" s="968"/>
      <c r="H65" s="968"/>
      <c r="I65" s="968"/>
      <c r="J65" s="968"/>
      <c r="K65" s="1154"/>
      <c r="L65" s="1155"/>
      <c r="M65" s="449"/>
      <c r="N65" s="406"/>
      <c r="O65" s="406"/>
      <c r="P65" s="406"/>
      <c r="Q65" s="406"/>
      <c r="R65" s="406"/>
      <c r="S65" s="406"/>
      <c r="T65" s="406"/>
    </row>
    <row r="66" spans="1:20" ht="15" customHeight="1" x14ac:dyDescent="0.2">
      <c r="A66" s="1172"/>
      <c r="B66" s="1160" t="s">
        <v>349</v>
      </c>
      <c r="C66" s="1161"/>
      <c r="D66" s="1161">
        <f>SUM('5.a.sz. melléklet'!D64)</f>
        <v>675791000</v>
      </c>
      <c r="E66" s="1161"/>
      <c r="F66" s="1161"/>
      <c r="G66" s="1161"/>
      <c r="H66" s="1161"/>
      <c r="I66" s="1161"/>
      <c r="J66" s="1161"/>
      <c r="K66" s="1162"/>
      <c r="L66" s="1163">
        <f>SUM(C66:K66)</f>
        <v>675791000</v>
      </c>
      <c r="M66" s="449"/>
      <c r="N66" s="406"/>
      <c r="O66" s="406"/>
      <c r="P66" s="406"/>
      <c r="Q66" s="406"/>
      <c r="R66" s="406"/>
      <c r="S66" s="406"/>
      <c r="T66" s="406"/>
    </row>
    <row r="67" spans="1:20" ht="15" customHeight="1" thickBot="1" x14ac:dyDescent="0.25">
      <c r="A67" s="1169"/>
      <c r="B67" s="1170" t="s">
        <v>350</v>
      </c>
      <c r="C67" s="1171"/>
      <c r="D67" s="1895">
        <f>SUM('5.a.sz. melléklet'!D65)</f>
        <v>650791000</v>
      </c>
      <c r="E67" s="1171"/>
      <c r="F67" s="1171"/>
      <c r="G67" s="1171"/>
      <c r="H67" s="1171"/>
      <c r="I67" s="1171"/>
      <c r="J67" s="1171"/>
      <c r="K67" s="1215"/>
      <c r="L67" s="1459">
        <f>SUM(C67:K67)</f>
        <v>650791000</v>
      </c>
      <c r="M67" s="449"/>
      <c r="N67" s="406"/>
      <c r="O67" s="406"/>
      <c r="P67" s="406"/>
      <c r="Q67" s="406"/>
      <c r="R67" s="406"/>
      <c r="S67" s="406"/>
      <c r="T67" s="406"/>
    </row>
    <row r="68" spans="1:20" ht="4.5" customHeight="1" x14ac:dyDescent="0.2">
      <c r="A68" s="966"/>
      <c r="B68" s="967"/>
      <c r="C68" s="968"/>
      <c r="D68" s="968"/>
      <c r="E68" s="968"/>
      <c r="F68" s="968"/>
      <c r="G68" s="968"/>
      <c r="H68" s="968"/>
      <c r="I68" s="968"/>
      <c r="J68" s="968"/>
      <c r="K68" s="1154"/>
      <c r="L68" s="1155"/>
      <c r="M68" s="449"/>
      <c r="N68" s="406"/>
      <c r="O68" s="406"/>
      <c r="P68" s="406"/>
      <c r="Q68" s="406"/>
      <c r="R68" s="406"/>
      <c r="S68" s="406"/>
      <c r="T68" s="406"/>
    </row>
    <row r="69" spans="1:20" ht="26.25" customHeight="1" x14ac:dyDescent="0.2">
      <c r="A69" s="966" t="s">
        <v>272</v>
      </c>
      <c r="B69" s="967" t="s">
        <v>454</v>
      </c>
      <c r="C69" s="1156"/>
      <c r="D69" s="1156"/>
      <c r="E69" s="1156"/>
      <c r="F69" s="1156"/>
      <c r="G69" s="1156"/>
      <c r="H69" s="1156"/>
      <c r="I69" s="1156"/>
      <c r="J69" s="1156"/>
      <c r="K69" s="1157"/>
      <c r="L69" s="1158"/>
      <c r="M69" s="449"/>
      <c r="N69" s="406"/>
      <c r="O69" s="406"/>
      <c r="P69" s="406"/>
      <c r="Q69" s="406"/>
      <c r="R69" s="406"/>
      <c r="S69" s="406"/>
      <c r="T69" s="406"/>
    </row>
    <row r="70" spans="1:20" ht="15" customHeight="1" x14ac:dyDescent="0.2">
      <c r="A70" s="1159"/>
      <c r="B70" s="1160" t="s">
        <v>349</v>
      </c>
      <c r="C70" s="1161"/>
      <c r="D70" s="1161"/>
      <c r="E70" s="1161"/>
      <c r="F70" s="1161"/>
      <c r="G70" s="1161"/>
      <c r="H70" s="1161"/>
      <c r="I70" s="1161"/>
      <c r="J70" s="1161"/>
      <c r="K70" s="1162">
        <f>SUM('5.a.sz. melléklet'!K67)</f>
        <v>300000000</v>
      </c>
      <c r="L70" s="1163">
        <f>SUM(C70:K70)</f>
        <v>300000000</v>
      </c>
      <c r="M70" s="449"/>
      <c r="N70" s="406"/>
      <c r="O70" s="406"/>
      <c r="P70" s="406"/>
      <c r="Q70" s="406"/>
      <c r="R70" s="406"/>
      <c r="S70" s="406"/>
      <c r="T70" s="406"/>
    </row>
    <row r="71" spans="1:20" ht="15" customHeight="1" thickBot="1" x14ac:dyDescent="0.25">
      <c r="A71" s="1164"/>
      <c r="B71" s="1165" t="s">
        <v>350</v>
      </c>
      <c r="C71" s="1166"/>
      <c r="D71" s="1166"/>
      <c r="E71" s="1166"/>
      <c r="F71" s="1166"/>
      <c r="G71" s="1166"/>
      <c r="H71" s="1166"/>
      <c r="I71" s="1166"/>
      <c r="J71" s="1166"/>
      <c r="K71" s="1167">
        <f>SUM('5.a.sz. melléklet'!K68)</f>
        <v>365995335</v>
      </c>
      <c r="L71" s="1168">
        <f>SUM(K71)</f>
        <v>365995335</v>
      </c>
      <c r="M71" s="449"/>
      <c r="N71" s="406"/>
      <c r="O71" s="406"/>
      <c r="P71" s="406"/>
      <c r="Q71" s="406"/>
      <c r="R71" s="406"/>
      <c r="S71" s="406"/>
      <c r="T71" s="406"/>
    </row>
    <row r="72" spans="1:20" s="500" customFormat="1" ht="27" customHeight="1" thickBot="1" x14ac:dyDescent="0.25">
      <c r="A72" s="2028" t="s">
        <v>344</v>
      </c>
      <c r="B72" s="2029"/>
      <c r="C72" s="2030"/>
      <c r="D72" s="738"/>
      <c r="E72" s="738"/>
      <c r="F72" s="738"/>
      <c r="G72" s="738"/>
      <c r="H72" s="738"/>
      <c r="I72" s="738"/>
      <c r="J72" s="738"/>
      <c r="K72" s="739"/>
      <c r="L72" s="740"/>
      <c r="M72" s="449"/>
      <c r="N72" s="513"/>
      <c r="O72" s="406"/>
    </row>
    <row r="73" spans="1:20" s="500" customFormat="1" ht="15" customHeight="1" thickBot="1" x14ac:dyDescent="0.25">
      <c r="A73" s="514"/>
      <c r="B73" s="515" t="s">
        <v>349</v>
      </c>
      <c r="C73" s="741">
        <f t="shared" ref="C73:L73" si="0">C9+C12+C15+C18+C21+C27+C30+C33+C36+C39+C42+C57+C60+C45+C6+C70+C66+C63+C54+C51+C48+C24</f>
        <v>98257000</v>
      </c>
      <c r="D73" s="741">
        <f t="shared" si="0"/>
        <v>675791000</v>
      </c>
      <c r="E73" s="741">
        <f t="shared" si="0"/>
        <v>134971058</v>
      </c>
      <c r="F73" s="741">
        <f t="shared" si="0"/>
        <v>35116000</v>
      </c>
      <c r="G73" s="741">
        <f t="shared" si="0"/>
        <v>174678258.55555555</v>
      </c>
      <c r="H73" s="741">
        <f t="shared" si="0"/>
        <v>0</v>
      </c>
      <c r="I73" s="741">
        <f t="shared" si="0"/>
        <v>196528000</v>
      </c>
      <c r="J73" s="741">
        <f t="shared" si="0"/>
        <v>379000000</v>
      </c>
      <c r="K73" s="741">
        <f t="shared" si="0"/>
        <v>300000000</v>
      </c>
      <c r="L73" s="741">
        <f t="shared" si="0"/>
        <v>1994341316.5555556</v>
      </c>
      <c r="M73" s="516">
        <f>SUM(C73:K73)</f>
        <v>1994341316.5555556</v>
      </c>
      <c r="N73" s="513"/>
      <c r="O73" s="406"/>
    </row>
    <row r="74" spans="1:20" s="500" customFormat="1" ht="15" customHeight="1" thickBot="1" x14ac:dyDescent="0.25">
      <c r="A74" s="514"/>
      <c r="B74" s="512" t="s">
        <v>350</v>
      </c>
      <c r="C74" s="741">
        <f>C7+C10+C13+C16+C19+C22+C25+C28+C31+C34+C37+C40+C43+C46+C49+C52+C55+C58+C61+C64+C67+C71</f>
        <v>98257000</v>
      </c>
      <c r="D74" s="741">
        <f t="shared" ref="D74:L74" si="1">D7+D10+D13+D16+D19+D22+D25+D28+D31+D34+D37+D40+D43+D46+D49+D52+D55+D58+D61+D64+D67+D71</f>
        <v>650791000</v>
      </c>
      <c r="E74" s="741">
        <f t="shared" si="1"/>
        <v>136755752</v>
      </c>
      <c r="F74" s="741">
        <f t="shared" si="1"/>
        <v>35116000</v>
      </c>
      <c r="G74" s="741">
        <f t="shared" si="1"/>
        <v>174678258.55555555</v>
      </c>
      <c r="H74" s="741">
        <f t="shared" si="1"/>
        <v>0</v>
      </c>
      <c r="I74" s="741">
        <f t="shared" si="1"/>
        <v>196528000</v>
      </c>
      <c r="J74" s="741">
        <f t="shared" si="1"/>
        <v>379000000</v>
      </c>
      <c r="K74" s="741">
        <f t="shared" si="1"/>
        <v>393178204</v>
      </c>
      <c r="L74" s="741">
        <f t="shared" si="1"/>
        <v>2064304214.5555556</v>
      </c>
      <c r="M74" s="516"/>
      <c r="N74" s="513">
        <f>SUM(C74:K74)</f>
        <v>2064304214.5555556</v>
      </c>
      <c r="O74" s="406"/>
    </row>
    <row r="75" spans="1:20" s="500" customFormat="1" ht="15" customHeight="1" thickBot="1" x14ac:dyDescent="0.25">
      <c r="A75" s="517"/>
      <c r="B75" s="518"/>
      <c r="C75" s="744"/>
      <c r="D75" s="744"/>
      <c r="E75" s="744"/>
      <c r="F75" s="744"/>
      <c r="G75" s="744"/>
      <c r="H75" s="744"/>
      <c r="I75" s="744"/>
      <c r="J75" s="744"/>
      <c r="K75" s="745"/>
      <c r="L75" s="746"/>
      <c r="M75" s="516"/>
      <c r="N75" s="513"/>
      <c r="O75" s="406"/>
    </row>
    <row r="76" spans="1:20" s="500" customFormat="1" ht="15" customHeight="1" thickBot="1" x14ac:dyDescent="0.25">
      <c r="A76" s="2012" t="s">
        <v>341</v>
      </c>
      <c r="B76" s="2013"/>
      <c r="C76" s="744"/>
      <c r="D76" s="744"/>
      <c r="E76" s="744"/>
      <c r="F76" s="744"/>
      <c r="G76" s="744"/>
      <c r="H76" s="744"/>
      <c r="I76" s="744"/>
      <c r="J76" s="744"/>
      <c r="K76" s="745"/>
      <c r="L76" s="747"/>
      <c r="M76" s="449"/>
      <c r="N76" s="513"/>
      <c r="O76" s="406"/>
    </row>
    <row r="77" spans="1:20" ht="15" customHeight="1" thickBot="1" x14ac:dyDescent="0.25">
      <c r="A77" s="496" t="s">
        <v>225</v>
      </c>
      <c r="B77" s="519" t="s">
        <v>2</v>
      </c>
      <c r="C77" s="729"/>
      <c r="D77" s="729"/>
      <c r="E77" s="729"/>
      <c r="F77" s="729"/>
      <c r="G77" s="729"/>
      <c r="H77" s="748"/>
      <c r="I77" s="748"/>
      <c r="J77" s="748"/>
      <c r="K77" s="749"/>
      <c r="L77" s="750"/>
      <c r="M77" s="449"/>
      <c r="N77" s="406"/>
      <c r="O77" s="406"/>
      <c r="P77" s="406"/>
      <c r="Q77" s="406"/>
      <c r="R77" s="406"/>
      <c r="S77" s="406"/>
      <c r="T77" s="406"/>
    </row>
    <row r="78" spans="1:20" ht="15" customHeight="1" x14ac:dyDescent="0.2">
      <c r="A78" s="473"/>
      <c r="B78" s="472" t="s">
        <v>349</v>
      </c>
      <c r="C78" s="751">
        <f>SUM('13.sz.melléklet'!D21)</f>
        <v>10180000</v>
      </c>
      <c r="D78" s="751">
        <f>SUM('13.sz.melléklet'!C21)</f>
        <v>0</v>
      </c>
      <c r="E78" s="751"/>
      <c r="F78" s="751"/>
      <c r="G78" s="751"/>
      <c r="H78" s="752"/>
      <c r="I78" s="752"/>
      <c r="J78" s="752"/>
      <c r="K78" s="753"/>
      <c r="L78" s="754">
        <f>SUM(C78:K78)</f>
        <v>10180000</v>
      </c>
      <c r="M78" s="520"/>
      <c r="N78" s="406"/>
      <c r="O78" s="406"/>
      <c r="P78" s="406"/>
      <c r="Q78" s="406"/>
      <c r="R78" s="406"/>
      <c r="S78" s="406"/>
      <c r="T78" s="406"/>
    </row>
    <row r="79" spans="1:20" ht="15" customHeight="1" thickBot="1" x14ac:dyDescent="0.25">
      <c r="A79" s="404"/>
      <c r="B79" s="402" t="s">
        <v>350</v>
      </c>
      <c r="C79" s="723">
        <f>SUM('13.sz.melléklet'!D22)</f>
        <v>10180000</v>
      </c>
      <c r="D79" s="723">
        <f>SUM('13.sz.melléklet'!C22)</f>
        <v>0</v>
      </c>
      <c r="E79" s="723">
        <f>SUM('5.a.sz. melléklet'!E8)</f>
        <v>0</v>
      </c>
      <c r="F79" s="723"/>
      <c r="G79" s="723"/>
      <c r="H79" s="755"/>
      <c r="I79" s="755"/>
      <c r="J79" s="755"/>
      <c r="K79" s="756"/>
      <c r="L79" s="757">
        <f>SUM(C79:K79)</f>
        <v>10180000</v>
      </c>
      <c r="M79" s="449"/>
      <c r="N79" s="406"/>
      <c r="O79" s="406"/>
      <c r="P79" s="406"/>
      <c r="Q79" s="406"/>
      <c r="R79" s="406"/>
      <c r="S79" s="406"/>
      <c r="T79" s="406"/>
    </row>
    <row r="80" spans="1:20" s="500" customFormat="1" ht="13.5" thickBot="1" x14ac:dyDescent="0.25">
      <c r="A80" s="2028" t="s">
        <v>413</v>
      </c>
      <c r="B80" s="2030"/>
      <c r="C80" s="738"/>
      <c r="D80" s="738"/>
      <c r="E80" s="738"/>
      <c r="F80" s="738"/>
      <c r="G80" s="738"/>
      <c r="H80" s="738"/>
      <c r="I80" s="738"/>
      <c r="J80" s="738"/>
      <c r="K80" s="739"/>
      <c r="L80" s="743"/>
      <c r="M80" s="449"/>
      <c r="N80" s="513"/>
      <c r="O80" s="406"/>
    </row>
    <row r="81" spans="1:41" s="500" customFormat="1" ht="15" customHeight="1" x14ac:dyDescent="0.2">
      <c r="A81" s="1189"/>
      <c r="B81" s="1441" t="s">
        <v>349</v>
      </c>
      <c r="C81" s="1190">
        <f t="shared" ref="C81:L81" si="2">C78</f>
        <v>10180000</v>
      </c>
      <c r="D81" s="1190">
        <f t="shared" si="2"/>
        <v>0</v>
      </c>
      <c r="E81" s="1190">
        <f t="shared" si="2"/>
        <v>0</v>
      </c>
      <c r="F81" s="1190">
        <f t="shared" si="2"/>
        <v>0</v>
      </c>
      <c r="G81" s="1190">
        <f t="shared" si="2"/>
        <v>0</v>
      </c>
      <c r="H81" s="1190">
        <f t="shared" si="2"/>
        <v>0</v>
      </c>
      <c r="I81" s="1190">
        <f t="shared" si="2"/>
        <v>0</v>
      </c>
      <c r="J81" s="1190">
        <f t="shared" si="2"/>
        <v>0</v>
      </c>
      <c r="K81" s="1190">
        <f t="shared" si="2"/>
        <v>0</v>
      </c>
      <c r="L81" s="1191">
        <f t="shared" si="2"/>
        <v>10180000</v>
      </c>
      <c r="M81" s="516">
        <f>SUM(C81:K81)</f>
        <v>10180000</v>
      </c>
      <c r="N81" s="513"/>
      <c r="O81" s="406"/>
    </row>
    <row r="82" spans="1:41" s="500" customFormat="1" ht="15" customHeight="1" x14ac:dyDescent="0.2">
      <c r="A82" s="1192"/>
      <c r="B82" s="1193" t="s">
        <v>350</v>
      </c>
      <c r="C82" s="1194">
        <f>C79</f>
        <v>10180000</v>
      </c>
      <c r="D82" s="1194">
        <f>D79</f>
        <v>0</v>
      </c>
      <c r="E82" s="1194">
        <f>SUM(E79)</f>
        <v>0</v>
      </c>
      <c r="F82" s="1194"/>
      <c r="G82" s="1194"/>
      <c r="H82" s="1194">
        <f>SUM(H79)</f>
        <v>0</v>
      </c>
      <c r="I82" s="1194"/>
      <c r="J82" s="1194"/>
      <c r="K82" s="1195"/>
      <c r="L82" s="1196">
        <f>SUM(C82:K82)</f>
        <v>10180000</v>
      </c>
      <c r="M82" s="449"/>
      <c r="N82" s="513"/>
      <c r="O82" s="406"/>
    </row>
    <row r="83" spans="1:41" ht="15" customHeight="1" x14ac:dyDescent="0.25">
      <c r="A83" s="524"/>
      <c r="B83" s="525"/>
      <c r="C83" s="736"/>
      <c r="D83" s="736"/>
      <c r="E83" s="736"/>
      <c r="F83" s="736"/>
      <c r="G83" s="736"/>
      <c r="H83" s="736"/>
      <c r="I83" s="736"/>
      <c r="J83" s="736"/>
      <c r="K83" s="737"/>
      <c r="L83" s="758"/>
      <c r="M83" s="526"/>
      <c r="N83" s="527"/>
      <c r="O83" s="498"/>
      <c r="P83" s="499"/>
    </row>
    <row r="84" spans="1:41" ht="15" customHeight="1" thickBot="1" x14ac:dyDescent="0.3">
      <c r="A84" s="2020" t="s">
        <v>177</v>
      </c>
      <c r="B84" s="2021"/>
      <c r="C84" s="759"/>
      <c r="D84" s="759"/>
      <c r="E84" s="759"/>
      <c r="F84" s="759"/>
      <c r="G84" s="759"/>
      <c r="H84" s="759"/>
      <c r="I84" s="759"/>
      <c r="J84" s="759"/>
      <c r="K84" s="760"/>
      <c r="L84" s="761"/>
      <c r="M84" s="526"/>
      <c r="N84" s="527"/>
      <c r="O84" s="498"/>
      <c r="P84" s="499"/>
    </row>
    <row r="85" spans="1:41" ht="15" customHeight="1" x14ac:dyDescent="0.25">
      <c r="A85" s="429" t="s">
        <v>235</v>
      </c>
      <c r="B85" s="430" t="s">
        <v>236</v>
      </c>
      <c r="C85" s="762"/>
      <c r="D85" s="729"/>
      <c r="E85" s="729"/>
      <c r="F85" s="729"/>
      <c r="G85" s="729"/>
      <c r="H85" s="729"/>
      <c r="I85" s="729"/>
      <c r="J85" s="729"/>
      <c r="K85" s="763"/>
      <c r="L85" s="764"/>
      <c r="M85" s="526"/>
      <c r="N85" s="527"/>
      <c r="O85" s="498"/>
      <c r="P85" s="499"/>
    </row>
    <row r="86" spans="1:41" s="447" customFormat="1" ht="15" customHeight="1" thickBot="1" x14ac:dyDescent="0.3">
      <c r="A86" s="400"/>
      <c r="B86" s="401" t="s">
        <v>349</v>
      </c>
      <c r="C86" s="726">
        <f>SUM('16.sz. melléklet'!C24)</f>
        <v>0</v>
      </c>
      <c r="D86" s="721"/>
      <c r="E86" s="721"/>
      <c r="F86" s="721"/>
      <c r="G86" s="721"/>
      <c r="H86" s="721"/>
      <c r="I86" s="721"/>
      <c r="J86" s="721"/>
      <c r="K86" s="722"/>
      <c r="L86" s="1197">
        <f>SUM(C86:K86)</f>
        <v>0</v>
      </c>
      <c r="M86" s="526"/>
      <c r="N86" s="527"/>
      <c r="O86" s="498"/>
      <c r="P86" s="499"/>
      <c r="Q86" s="500"/>
      <c r="R86" s="500"/>
      <c r="S86" s="500"/>
      <c r="T86" s="500"/>
      <c r="U86" s="406"/>
      <c r="V86" s="406"/>
      <c r="W86" s="406"/>
      <c r="X86" s="406"/>
      <c r="Y86" s="406"/>
      <c r="Z86" s="406"/>
      <c r="AA86" s="406"/>
      <c r="AB86" s="406"/>
      <c r="AC86" s="406"/>
      <c r="AD86" s="406"/>
      <c r="AE86" s="406"/>
      <c r="AF86" s="406"/>
      <c r="AG86" s="406"/>
      <c r="AH86" s="406"/>
      <c r="AI86" s="406"/>
      <c r="AJ86" s="406"/>
      <c r="AK86" s="406"/>
      <c r="AL86" s="406"/>
      <c r="AM86" s="406"/>
      <c r="AN86" s="406"/>
      <c r="AO86" s="406"/>
    </row>
    <row r="87" spans="1:41" ht="15" customHeight="1" thickBot="1" x14ac:dyDescent="0.3">
      <c r="A87" s="1442"/>
      <c r="B87" s="402" t="s">
        <v>350</v>
      </c>
      <c r="C87" s="1446">
        <f>SUM('16.sz. melléklet'!C25)</f>
        <v>0</v>
      </c>
      <c r="D87" s="723"/>
      <c r="E87" s="723"/>
      <c r="F87" s="723"/>
      <c r="G87" s="723"/>
      <c r="H87" s="723"/>
      <c r="I87" s="723"/>
      <c r="J87" s="723"/>
      <c r="K87" s="724"/>
      <c r="L87" s="1465">
        <f>SUM(C87:K87)</f>
        <v>0</v>
      </c>
      <c r="M87" s="526"/>
      <c r="N87" s="527"/>
      <c r="O87" s="498"/>
      <c r="P87" s="499"/>
    </row>
    <row r="88" spans="1:41" ht="15" customHeight="1" x14ac:dyDescent="0.2">
      <c r="A88" s="1198" t="s">
        <v>237</v>
      </c>
      <c r="B88" s="445" t="s">
        <v>410</v>
      </c>
      <c r="C88" s="736"/>
      <c r="D88" s="736"/>
      <c r="E88" s="736"/>
      <c r="F88" s="736"/>
      <c r="G88" s="736"/>
      <c r="H88" s="736"/>
      <c r="I88" s="736"/>
      <c r="J88" s="736"/>
      <c r="K88" s="737"/>
      <c r="L88" s="1155"/>
      <c r="M88" s="449"/>
      <c r="N88" s="406"/>
      <c r="O88" s="406"/>
      <c r="P88" s="406"/>
      <c r="Q88" s="406"/>
      <c r="R88" s="406"/>
      <c r="S88" s="406"/>
      <c r="T88" s="406"/>
    </row>
    <row r="89" spans="1:41" s="447" customFormat="1" ht="15" customHeight="1" thickBot="1" x14ac:dyDescent="0.25">
      <c r="A89" s="407"/>
      <c r="B89" s="401" t="s">
        <v>349</v>
      </c>
      <c r="C89" s="721"/>
      <c r="D89" s="721"/>
      <c r="E89" s="721"/>
      <c r="F89" s="721">
        <f>SUM('5.a.sz. melléklet'!F19)</f>
        <v>3600000</v>
      </c>
      <c r="G89" s="721"/>
      <c r="H89" s="721"/>
      <c r="I89" s="721"/>
      <c r="J89" s="721"/>
      <c r="K89" s="722"/>
      <c r="L89" s="1163">
        <f>SUM(C89:K89)</f>
        <v>3600000</v>
      </c>
      <c r="M89" s="449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  <c r="AA89" s="406"/>
      <c r="AB89" s="406"/>
      <c r="AC89" s="406"/>
      <c r="AD89" s="406"/>
      <c r="AE89" s="406"/>
      <c r="AF89" s="406"/>
      <c r="AG89" s="406"/>
      <c r="AH89" s="406"/>
      <c r="AI89" s="406"/>
      <c r="AJ89" s="406"/>
      <c r="AK89" s="406"/>
      <c r="AL89" s="406"/>
      <c r="AM89" s="406"/>
      <c r="AN89" s="406"/>
      <c r="AO89" s="406"/>
    </row>
    <row r="90" spans="1:41" ht="15" customHeight="1" thickBot="1" x14ac:dyDescent="0.25">
      <c r="A90" s="1466"/>
      <c r="B90" s="1450" t="s">
        <v>350</v>
      </c>
      <c r="C90" s="1460"/>
      <c r="D90" s="1460"/>
      <c r="E90" s="1460"/>
      <c r="F90" s="1460">
        <f>SUM('5.a.sz. melléklet'!F20)</f>
        <v>3600000</v>
      </c>
      <c r="G90" s="1460"/>
      <c r="H90" s="1460"/>
      <c r="I90" s="1460"/>
      <c r="J90" s="1460"/>
      <c r="K90" s="1461"/>
      <c r="L90" s="1459">
        <f>SUM(F90:K90)</f>
        <v>3600000</v>
      </c>
      <c r="M90" s="449"/>
      <c r="N90" s="406"/>
      <c r="O90" s="406"/>
      <c r="P90" s="406"/>
      <c r="Q90" s="406"/>
      <c r="R90" s="406"/>
      <c r="S90" s="406"/>
      <c r="T90" s="406"/>
    </row>
    <row r="91" spans="1:41" ht="15" customHeight="1" x14ac:dyDescent="0.2">
      <c r="A91" s="511" t="s">
        <v>245</v>
      </c>
      <c r="B91" s="445" t="s">
        <v>246</v>
      </c>
      <c r="C91" s="736"/>
      <c r="D91" s="736"/>
      <c r="E91" s="736"/>
      <c r="F91" s="736"/>
      <c r="G91" s="736"/>
      <c r="H91" s="736"/>
      <c r="I91" s="736"/>
      <c r="J91" s="736"/>
      <c r="K91" s="737"/>
      <c r="L91" s="1181"/>
      <c r="M91" s="449"/>
      <c r="N91" s="406"/>
      <c r="O91" s="406"/>
      <c r="P91" s="406"/>
      <c r="Q91" s="406"/>
      <c r="R91" s="406"/>
      <c r="S91" s="406"/>
      <c r="T91" s="406"/>
    </row>
    <row r="92" spans="1:41" s="447" customFormat="1" ht="15" customHeight="1" thickBot="1" x14ac:dyDescent="0.25">
      <c r="A92" s="400"/>
      <c r="B92" s="401" t="s">
        <v>349</v>
      </c>
      <c r="C92" s="721"/>
      <c r="D92" s="721">
        <f>SUM('5.a.sz. melléklet'!D22)</f>
        <v>6500000</v>
      </c>
      <c r="E92" s="721"/>
      <c r="F92" s="721">
        <f>SUM('5.a.sz. melléklet'!F22)</f>
        <v>7320000</v>
      </c>
      <c r="G92" s="721"/>
      <c r="H92" s="721"/>
      <c r="I92" s="721"/>
      <c r="J92" s="721"/>
      <c r="K92" s="722"/>
      <c r="L92" s="1176">
        <f>SUM(C92:K92)</f>
        <v>13820000</v>
      </c>
      <c r="M92" s="449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  <c r="AA92" s="406"/>
      <c r="AB92" s="406"/>
      <c r="AC92" s="406"/>
      <c r="AD92" s="406"/>
      <c r="AE92" s="406"/>
      <c r="AF92" s="406"/>
      <c r="AG92" s="406"/>
      <c r="AH92" s="406"/>
      <c r="AI92" s="406"/>
      <c r="AJ92" s="406"/>
      <c r="AK92" s="406"/>
      <c r="AL92" s="406"/>
      <c r="AM92" s="406"/>
      <c r="AN92" s="406"/>
      <c r="AO92" s="406"/>
    </row>
    <row r="93" spans="1:41" ht="15" customHeight="1" thickBot="1" x14ac:dyDescent="0.25">
      <c r="A93" s="511"/>
      <c r="B93" s="445" t="s">
        <v>350</v>
      </c>
      <c r="C93" s="736"/>
      <c r="D93" s="736">
        <f>SUM('5.a.sz. melléklet'!D23)</f>
        <v>6500000</v>
      </c>
      <c r="E93" s="736"/>
      <c r="F93" s="736">
        <f>SUM('5.a.sz. melléklet'!F23)</f>
        <v>7320000</v>
      </c>
      <c r="G93" s="736"/>
      <c r="H93" s="736"/>
      <c r="I93" s="736"/>
      <c r="J93" s="736"/>
      <c r="K93" s="737"/>
      <c r="L93" s="1181">
        <f>SUM(C93:K93)</f>
        <v>13820000</v>
      </c>
      <c r="M93" s="449"/>
      <c r="N93" s="406"/>
      <c r="O93" s="406"/>
      <c r="P93" s="406"/>
      <c r="Q93" s="406"/>
      <c r="R93" s="406"/>
      <c r="S93" s="406"/>
      <c r="T93" s="406"/>
    </row>
    <row r="94" spans="1:41" s="717" customFormat="1" ht="25.5" x14ac:dyDescent="0.2">
      <c r="A94" s="827" t="s">
        <v>268</v>
      </c>
      <c r="B94" s="828" t="s">
        <v>495</v>
      </c>
      <c r="C94" s="829"/>
      <c r="D94" s="829"/>
      <c r="E94" s="829"/>
      <c r="F94" s="829"/>
      <c r="G94" s="829"/>
      <c r="H94" s="829"/>
      <c r="I94" s="829"/>
      <c r="J94" s="829"/>
      <c r="K94" s="830"/>
      <c r="L94" s="831"/>
      <c r="M94" s="716"/>
    </row>
    <row r="95" spans="1:41" s="717" customFormat="1" ht="15" customHeight="1" x14ac:dyDescent="0.2">
      <c r="A95" s="1182"/>
      <c r="B95" s="1160" t="s">
        <v>349</v>
      </c>
      <c r="C95" s="1161">
        <f>SUM('5.a.sz. melléklet'!C25)</f>
        <v>2134000</v>
      </c>
      <c r="D95" s="1161"/>
      <c r="E95" s="1161"/>
      <c r="F95" s="1161"/>
      <c r="G95" s="1161"/>
      <c r="H95" s="1161"/>
      <c r="I95" s="1161"/>
      <c r="J95" s="1161"/>
      <c r="K95" s="1187"/>
      <c r="L95" s="1163">
        <f>SUM(C95:K95)</f>
        <v>2134000</v>
      </c>
      <c r="M95" s="716"/>
    </row>
    <row r="96" spans="1:41" s="717" customFormat="1" ht="15" customHeight="1" thickBot="1" x14ac:dyDescent="0.25">
      <c r="A96" s="1214"/>
      <c r="B96" s="1170" t="s">
        <v>350</v>
      </c>
      <c r="C96" s="1895">
        <f>SUM('5.a.sz. melléklet'!C26)</f>
        <v>2134000</v>
      </c>
      <c r="D96" s="1171"/>
      <c r="E96" s="1171"/>
      <c r="F96" s="1171"/>
      <c r="G96" s="1171"/>
      <c r="H96" s="1171"/>
      <c r="I96" s="1171"/>
      <c r="J96" s="1171"/>
      <c r="K96" s="1215"/>
      <c r="L96" s="1459">
        <f>SUM(C96:K96)</f>
        <v>2134000</v>
      </c>
      <c r="M96" s="716"/>
    </row>
    <row r="97" spans="1:41" ht="15" customHeight="1" x14ac:dyDescent="0.2">
      <c r="A97" s="511" t="s">
        <v>247</v>
      </c>
      <c r="B97" s="445" t="s">
        <v>248</v>
      </c>
      <c r="C97" s="736"/>
      <c r="D97" s="736"/>
      <c r="E97" s="736"/>
      <c r="F97" s="736"/>
      <c r="G97" s="736"/>
      <c r="H97" s="736"/>
      <c r="I97" s="736"/>
      <c r="J97" s="736"/>
      <c r="K97" s="737"/>
      <c r="L97" s="1181"/>
      <c r="M97" s="449"/>
      <c r="N97" s="406"/>
      <c r="O97" s="406"/>
      <c r="P97" s="406"/>
      <c r="Q97" s="406"/>
      <c r="R97" s="406"/>
      <c r="S97" s="406"/>
      <c r="T97" s="406"/>
    </row>
    <row r="98" spans="1:41" s="447" customFormat="1" ht="15" customHeight="1" thickBot="1" x14ac:dyDescent="0.25">
      <c r="A98" s="471"/>
      <c r="B98" s="472" t="s">
        <v>349</v>
      </c>
      <c r="C98" s="751">
        <f>SUM('5.a.sz. melléklet'!C28)</f>
        <v>1300000</v>
      </c>
      <c r="D98" s="751"/>
      <c r="E98" s="751"/>
      <c r="F98" s="751"/>
      <c r="G98" s="751"/>
      <c r="H98" s="751"/>
      <c r="I98" s="751"/>
      <c r="J98" s="751"/>
      <c r="K98" s="765"/>
      <c r="L98" s="1199">
        <f>SUM(C98:K98)</f>
        <v>1300000</v>
      </c>
      <c r="M98" s="449"/>
      <c r="N98" s="406"/>
      <c r="O98" s="406"/>
      <c r="P98" s="406"/>
      <c r="Q98" s="406"/>
      <c r="R98" s="406"/>
      <c r="S98" s="406"/>
      <c r="T98" s="406"/>
      <c r="U98" s="406"/>
      <c r="V98" s="406"/>
      <c r="W98" s="406"/>
      <c r="X98" s="406"/>
      <c r="Y98" s="406"/>
      <c r="Z98" s="406"/>
      <c r="AA98" s="406"/>
      <c r="AB98" s="406"/>
      <c r="AC98" s="406"/>
      <c r="AD98" s="406"/>
      <c r="AE98" s="406"/>
      <c r="AF98" s="406"/>
      <c r="AG98" s="406"/>
      <c r="AH98" s="406"/>
      <c r="AI98" s="406"/>
      <c r="AJ98" s="406"/>
      <c r="AK98" s="406"/>
      <c r="AL98" s="406"/>
      <c r="AM98" s="406"/>
      <c r="AN98" s="406"/>
      <c r="AO98" s="406"/>
    </row>
    <row r="99" spans="1:41" ht="15" customHeight="1" thickBot="1" x14ac:dyDescent="0.25">
      <c r="A99" s="400"/>
      <c r="B99" s="401" t="s">
        <v>350</v>
      </c>
      <c r="C99" s="721">
        <f>SUM('5.a.sz. melléklet'!C29)</f>
        <v>1300000</v>
      </c>
      <c r="D99" s="721"/>
      <c r="E99" s="721"/>
      <c r="F99" s="721"/>
      <c r="G99" s="721"/>
      <c r="H99" s="721"/>
      <c r="I99" s="721"/>
      <c r="J99" s="721"/>
      <c r="K99" s="722"/>
      <c r="L99" s="1176">
        <f>SUM(C99:K99)</f>
        <v>1300000</v>
      </c>
      <c r="M99" s="449"/>
      <c r="N99" s="406"/>
      <c r="O99" s="406"/>
      <c r="P99" s="406"/>
      <c r="Q99" s="406"/>
      <c r="R99" s="406"/>
      <c r="S99" s="406"/>
      <c r="T99" s="406"/>
    </row>
    <row r="100" spans="1:41" ht="23.25" customHeight="1" thickBot="1" x14ac:dyDescent="0.25">
      <c r="A100" s="2028" t="s">
        <v>345</v>
      </c>
      <c r="B100" s="2030"/>
      <c r="C100" s="741"/>
      <c r="D100" s="741"/>
      <c r="E100" s="741"/>
      <c r="F100" s="741"/>
      <c r="G100" s="741"/>
      <c r="H100" s="741"/>
      <c r="I100" s="741"/>
      <c r="J100" s="741"/>
      <c r="K100" s="742"/>
      <c r="L100" s="766"/>
      <c r="M100" s="530"/>
      <c r="N100" s="527"/>
      <c r="O100" s="406"/>
    </row>
    <row r="101" spans="1:41" ht="15" customHeight="1" thickBot="1" x14ac:dyDescent="0.25">
      <c r="A101" s="529"/>
      <c r="B101" s="531" t="s">
        <v>349</v>
      </c>
      <c r="C101" s="741">
        <f t="shared" ref="C101:L101" si="3">C86+C92+C98+C89+C95</f>
        <v>3434000</v>
      </c>
      <c r="D101" s="741">
        <f t="shared" si="3"/>
        <v>6500000</v>
      </c>
      <c r="E101" s="741">
        <f t="shared" si="3"/>
        <v>0</v>
      </c>
      <c r="F101" s="741">
        <f t="shared" si="3"/>
        <v>10920000</v>
      </c>
      <c r="G101" s="741">
        <f t="shared" si="3"/>
        <v>0</v>
      </c>
      <c r="H101" s="741">
        <f t="shared" si="3"/>
        <v>0</v>
      </c>
      <c r="I101" s="741">
        <f t="shared" si="3"/>
        <v>0</v>
      </c>
      <c r="J101" s="741">
        <f t="shared" si="3"/>
        <v>0</v>
      </c>
      <c r="K101" s="741">
        <f t="shared" si="3"/>
        <v>0</v>
      </c>
      <c r="L101" s="741">
        <f t="shared" si="3"/>
        <v>20854000</v>
      </c>
      <c r="M101" s="530"/>
      <c r="N101" s="527"/>
      <c r="O101" s="406"/>
    </row>
    <row r="102" spans="1:41" ht="15" customHeight="1" thickBot="1" x14ac:dyDescent="0.25">
      <c r="A102" s="529"/>
      <c r="B102" s="531" t="s">
        <v>350</v>
      </c>
      <c r="C102" s="741">
        <f>C87+C93+C99+C96</f>
        <v>3434000</v>
      </c>
      <c r="D102" s="741">
        <f t="shared" ref="D102:K102" si="4">D87+D93+D99+D96</f>
        <v>6500000</v>
      </c>
      <c r="E102" s="741">
        <f t="shared" si="4"/>
        <v>0</v>
      </c>
      <c r="F102" s="741">
        <f>F87+F93+F99+F96+F90</f>
        <v>10920000</v>
      </c>
      <c r="G102" s="741">
        <f t="shared" si="4"/>
        <v>0</v>
      </c>
      <c r="H102" s="741">
        <f t="shared" si="4"/>
        <v>0</v>
      </c>
      <c r="I102" s="741">
        <f t="shared" si="4"/>
        <v>0</v>
      </c>
      <c r="J102" s="741">
        <f t="shared" si="4"/>
        <v>0</v>
      </c>
      <c r="K102" s="741">
        <f t="shared" si="4"/>
        <v>0</v>
      </c>
      <c r="L102" s="741">
        <f>L87+L93+L99+L96+L90</f>
        <v>20854000</v>
      </c>
      <c r="M102" s="530"/>
      <c r="N102" s="527"/>
      <c r="O102" s="406"/>
    </row>
    <row r="103" spans="1:41" ht="15" customHeight="1" thickBot="1" x14ac:dyDescent="0.25">
      <c r="A103" s="532"/>
      <c r="B103" s="402"/>
      <c r="C103" s="767"/>
      <c r="D103" s="767"/>
      <c r="E103" s="767"/>
      <c r="F103" s="767"/>
      <c r="G103" s="767"/>
      <c r="H103" s="767"/>
      <c r="I103" s="767"/>
      <c r="J103" s="767"/>
      <c r="K103" s="768"/>
      <c r="L103" s="769"/>
      <c r="M103" s="530"/>
      <c r="N103" s="527"/>
      <c r="O103" s="406"/>
    </row>
    <row r="104" spans="1:41" ht="24.75" customHeight="1" x14ac:dyDescent="0.2">
      <c r="A104" s="2016" t="s">
        <v>342</v>
      </c>
      <c r="B104" s="2017"/>
      <c r="C104" s="770"/>
      <c r="D104" s="770"/>
      <c r="E104" s="770"/>
      <c r="F104" s="770"/>
      <c r="G104" s="770"/>
      <c r="H104" s="770"/>
      <c r="I104" s="770"/>
      <c r="J104" s="770"/>
      <c r="K104" s="771"/>
      <c r="L104" s="772"/>
      <c r="M104" s="530"/>
      <c r="N104" s="527"/>
      <c r="O104" s="406"/>
    </row>
    <row r="105" spans="1:41" ht="15" customHeight="1" thickBot="1" x14ac:dyDescent="0.25">
      <c r="A105" s="521"/>
      <c r="B105" s="533" t="s">
        <v>349</v>
      </c>
      <c r="C105" s="773">
        <f t="shared" ref="C105:L105" si="5">C73+C81+C101</f>
        <v>111871000</v>
      </c>
      <c r="D105" s="773">
        <f t="shared" si="5"/>
        <v>682291000</v>
      </c>
      <c r="E105" s="773">
        <f t="shared" si="5"/>
        <v>134971058</v>
      </c>
      <c r="F105" s="773">
        <f t="shared" si="5"/>
        <v>46036000</v>
      </c>
      <c r="G105" s="773">
        <f t="shared" si="5"/>
        <v>174678258.55555555</v>
      </c>
      <c r="H105" s="773">
        <f t="shared" si="5"/>
        <v>0</v>
      </c>
      <c r="I105" s="773">
        <f t="shared" si="5"/>
        <v>196528000</v>
      </c>
      <c r="J105" s="773">
        <f t="shared" si="5"/>
        <v>379000000</v>
      </c>
      <c r="K105" s="774">
        <f t="shared" si="5"/>
        <v>300000000</v>
      </c>
      <c r="L105" s="775">
        <f t="shared" si="5"/>
        <v>2025375316.5555556</v>
      </c>
      <c r="M105" s="530"/>
      <c r="N105" s="527"/>
      <c r="O105" s="613"/>
    </row>
    <row r="106" spans="1:41" ht="15" customHeight="1" thickBot="1" x14ac:dyDescent="0.25">
      <c r="A106" s="512"/>
      <c r="B106" s="531" t="s">
        <v>350</v>
      </c>
      <c r="C106" s="522">
        <f t="shared" ref="C106:L106" si="6">C74+C82+C102</f>
        <v>111871000</v>
      </c>
      <c r="D106" s="522">
        <f t="shared" si="6"/>
        <v>657291000</v>
      </c>
      <c r="E106" s="522">
        <f t="shared" si="6"/>
        <v>136755752</v>
      </c>
      <c r="F106" s="522">
        <f t="shared" si="6"/>
        <v>46036000</v>
      </c>
      <c r="G106" s="522">
        <f t="shared" si="6"/>
        <v>174678258.55555555</v>
      </c>
      <c r="H106" s="522">
        <f t="shared" si="6"/>
        <v>0</v>
      </c>
      <c r="I106" s="522">
        <f t="shared" si="6"/>
        <v>196528000</v>
      </c>
      <c r="J106" s="522">
        <f t="shared" si="6"/>
        <v>379000000</v>
      </c>
      <c r="K106" s="523">
        <f t="shared" si="6"/>
        <v>393178204</v>
      </c>
      <c r="L106" s="534">
        <f t="shared" si="6"/>
        <v>2095338214.5555556</v>
      </c>
      <c r="M106" s="535">
        <v>1827369</v>
      </c>
      <c r="N106" s="527">
        <f>SUM(C106:K106)</f>
        <v>2095338214.5555556</v>
      </c>
      <c r="O106" s="406"/>
    </row>
    <row r="107" spans="1:41" ht="15" customHeight="1" thickBot="1" x14ac:dyDescent="0.25">
      <c r="A107" s="536"/>
      <c r="B107" s="537"/>
      <c r="C107" s="538"/>
      <c r="D107" s="535"/>
      <c r="E107" s="535"/>
      <c r="F107" s="535"/>
      <c r="G107" s="535"/>
      <c r="H107" s="535"/>
      <c r="I107" s="535"/>
      <c r="J107" s="535"/>
      <c r="K107" s="535"/>
      <c r="L107" s="535"/>
      <c r="M107" s="539"/>
      <c r="N107" s="527"/>
      <c r="O107" s="406"/>
    </row>
    <row r="108" spans="1:41" ht="21.75" customHeight="1" x14ac:dyDescent="0.2">
      <c r="A108" s="540" t="s">
        <v>219</v>
      </c>
      <c r="B108" s="541" t="s">
        <v>220</v>
      </c>
      <c r="C108" s="542" t="s">
        <v>9</v>
      </c>
      <c r="D108" s="543" t="s">
        <v>221</v>
      </c>
      <c r="E108" s="543" t="s">
        <v>104</v>
      </c>
      <c r="F108" s="543" t="s">
        <v>222</v>
      </c>
      <c r="G108" s="543" t="s">
        <v>123</v>
      </c>
      <c r="H108" s="543" t="s">
        <v>122</v>
      </c>
      <c r="I108" s="543" t="s">
        <v>223</v>
      </c>
      <c r="J108" s="543" t="s">
        <v>298</v>
      </c>
      <c r="K108" s="543" t="s">
        <v>105</v>
      </c>
      <c r="L108" s="544" t="s">
        <v>142</v>
      </c>
      <c r="M108" s="543" t="s">
        <v>58</v>
      </c>
      <c r="N108" s="545" t="s">
        <v>21</v>
      </c>
      <c r="O108" s="449"/>
      <c r="S108" s="406"/>
      <c r="T108" s="406"/>
    </row>
    <row r="109" spans="1:41" ht="15" customHeight="1" thickBot="1" x14ac:dyDescent="0.25">
      <c r="A109" s="2024" t="s">
        <v>174</v>
      </c>
      <c r="B109" s="2025"/>
      <c r="C109" s="406"/>
      <c r="D109" s="406"/>
      <c r="E109" s="406"/>
      <c r="F109" s="406"/>
      <c r="G109" s="406"/>
      <c r="H109" s="406"/>
      <c r="I109" s="406"/>
      <c r="J109" s="406"/>
      <c r="K109" s="406"/>
      <c r="L109" s="406"/>
      <c r="M109" s="546"/>
      <c r="N109" s="406"/>
      <c r="O109" s="449"/>
      <c r="S109" s="406"/>
      <c r="T109" s="406"/>
    </row>
    <row r="110" spans="1:41" ht="15" customHeight="1" x14ac:dyDescent="0.2">
      <c r="A110" s="431" t="s">
        <v>225</v>
      </c>
      <c r="B110" s="432" t="s">
        <v>2</v>
      </c>
      <c r="C110" s="776"/>
      <c r="D110" s="776"/>
      <c r="E110" s="776"/>
      <c r="F110" s="776"/>
      <c r="G110" s="776"/>
      <c r="H110" s="776"/>
      <c r="I110" s="776"/>
      <c r="J110" s="776"/>
      <c r="K110" s="776"/>
      <c r="L110" s="777"/>
      <c r="M110" s="776"/>
      <c r="N110" s="778">
        <f>SUM(C110:M110)</f>
        <v>0</v>
      </c>
      <c r="O110" s="449"/>
      <c r="P110" s="406"/>
      <c r="Q110" s="406"/>
      <c r="R110" s="406"/>
      <c r="S110" s="406"/>
      <c r="T110" s="406"/>
    </row>
    <row r="111" spans="1:41" s="447" customFormat="1" ht="15" customHeight="1" thickBot="1" x14ac:dyDescent="0.25">
      <c r="A111" s="433"/>
      <c r="B111" s="401" t="s">
        <v>349</v>
      </c>
      <c r="C111" s="780">
        <f>SUM('6. sz.melléklet'!C6)</f>
        <v>32307000</v>
      </c>
      <c r="D111" s="780">
        <f>SUM('6. sz.melléklet'!D6)</f>
        <v>6505000</v>
      </c>
      <c r="E111" s="780">
        <f>SUM('6. sz.melléklet'!E6)</f>
        <v>58760000</v>
      </c>
      <c r="F111" s="780"/>
      <c r="G111" s="780"/>
      <c r="H111" s="780">
        <f>SUM('6. sz.melléklet'!H6)</f>
        <v>5500000</v>
      </c>
      <c r="I111" s="780">
        <f>SUM('6. sz.melléklet'!I6)</f>
        <v>410000</v>
      </c>
      <c r="J111" s="780">
        <f>SUM('6. sz.melléklet'!J6)</f>
        <v>0</v>
      </c>
      <c r="K111" s="780">
        <f>SUM('1.sz. melléklet'!B27)</f>
        <v>54155707.555555582</v>
      </c>
      <c r="L111" s="781"/>
      <c r="M111" s="780"/>
      <c r="N111" s="782">
        <f>SUM(C111:M111)</f>
        <v>157637707.55555558</v>
      </c>
      <c r="O111" s="449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  <c r="AA111" s="406"/>
      <c r="AB111" s="406"/>
      <c r="AC111" s="406"/>
      <c r="AD111" s="406"/>
      <c r="AE111" s="406"/>
      <c r="AF111" s="406"/>
      <c r="AG111" s="406"/>
      <c r="AH111" s="406"/>
      <c r="AI111" s="406"/>
      <c r="AJ111" s="406"/>
      <c r="AK111" s="406"/>
      <c r="AL111" s="406"/>
      <c r="AM111" s="406"/>
      <c r="AN111" s="406"/>
    </row>
    <row r="112" spans="1:41" ht="15" customHeight="1" thickBot="1" x14ac:dyDescent="0.25">
      <c r="A112" s="1482"/>
      <c r="B112" s="402" t="s">
        <v>350</v>
      </c>
      <c r="C112" s="1472">
        <f>SUM('6. sz.melléklet'!C7)</f>
        <v>31827000</v>
      </c>
      <c r="D112" s="1472">
        <f>SUM('6. sz.melléklet'!D7)</f>
        <v>6421000</v>
      </c>
      <c r="E112" s="1472">
        <f>SUM('6. sz.melléklet'!E7)</f>
        <v>135849976</v>
      </c>
      <c r="F112" s="1472"/>
      <c r="G112" s="1472"/>
      <c r="H112" s="1472">
        <f>SUM('6. sz.melléklet'!H7)</f>
        <v>5500000</v>
      </c>
      <c r="I112" s="1472">
        <f>SUM('6. sz.melléklet'!I7)</f>
        <v>410000</v>
      </c>
      <c r="J112" s="1472">
        <f>SUM('6. sz.melléklet'!J7)</f>
        <v>0</v>
      </c>
      <c r="K112" s="1472">
        <f>SUM('1.sz. melléklet'!C27)</f>
        <v>21334155</v>
      </c>
      <c r="L112" s="1473"/>
      <c r="M112" s="1472"/>
      <c r="N112" s="779">
        <f>SUM(C112:M112)</f>
        <v>201342131</v>
      </c>
      <c r="O112" s="449"/>
      <c r="P112" s="406"/>
      <c r="Q112" s="406"/>
      <c r="R112" s="406"/>
      <c r="S112" s="406"/>
      <c r="T112" s="406"/>
    </row>
    <row r="113" spans="1:41" ht="15" customHeight="1" x14ac:dyDescent="0.2">
      <c r="A113" s="1200" t="s">
        <v>288</v>
      </c>
      <c r="B113" s="445" t="s">
        <v>444</v>
      </c>
      <c r="C113" s="1201"/>
      <c r="D113" s="1201"/>
      <c r="E113" s="1201"/>
      <c r="F113" s="1201"/>
      <c r="G113" s="1201"/>
      <c r="H113" s="1201"/>
      <c r="I113" s="1201"/>
      <c r="J113" s="1201"/>
      <c r="K113" s="1201"/>
      <c r="L113" s="1202"/>
      <c r="M113" s="1201"/>
      <c r="N113" s="796"/>
      <c r="O113" s="449"/>
      <c r="P113" s="406"/>
      <c r="Q113" s="406"/>
      <c r="R113" s="406"/>
      <c r="S113" s="406"/>
      <c r="T113" s="406"/>
    </row>
    <row r="114" spans="1:41" s="447" customFormat="1" ht="15" customHeight="1" thickBot="1" x14ac:dyDescent="0.25">
      <c r="A114" s="475"/>
      <c r="B114" s="474" t="s">
        <v>349</v>
      </c>
      <c r="C114" s="783"/>
      <c r="D114" s="783"/>
      <c r="E114" s="783">
        <f>'6. sz.melléklet'!E12</f>
        <v>0</v>
      </c>
      <c r="F114" s="783"/>
      <c r="G114" s="783"/>
      <c r="H114" s="783"/>
      <c r="I114" s="783"/>
      <c r="J114" s="783"/>
      <c r="K114" s="783"/>
      <c r="L114" s="784"/>
      <c r="M114" s="780">
        <f>SUM('6. sz.melléklet'!M12)</f>
        <v>5398843</v>
      </c>
      <c r="N114" s="782">
        <f>SUM(C114:M114)</f>
        <v>5398843</v>
      </c>
      <c r="O114" s="449"/>
      <c r="P114" s="406"/>
      <c r="Q114" s="406"/>
      <c r="R114" s="406"/>
      <c r="S114" s="406"/>
      <c r="T114" s="406"/>
      <c r="U114" s="406"/>
      <c r="V114" s="406"/>
      <c r="W114" s="406"/>
      <c r="X114" s="406"/>
      <c r="Y114" s="406"/>
      <c r="Z114" s="406"/>
      <c r="AA114" s="406"/>
      <c r="AB114" s="406"/>
      <c r="AC114" s="406"/>
      <c r="AD114" s="406"/>
      <c r="AE114" s="406"/>
      <c r="AF114" s="406"/>
      <c r="AG114" s="406"/>
      <c r="AH114" s="406"/>
      <c r="AI114" s="406"/>
      <c r="AJ114" s="406"/>
      <c r="AK114" s="406"/>
      <c r="AL114" s="406"/>
      <c r="AM114" s="406"/>
      <c r="AN114" s="406"/>
    </row>
    <row r="115" spans="1:41" ht="15" customHeight="1" thickBot="1" x14ac:dyDescent="0.25">
      <c r="A115" s="433"/>
      <c r="B115" s="405" t="s">
        <v>350</v>
      </c>
      <c r="C115" s="780"/>
      <c r="D115" s="780"/>
      <c r="E115" s="780">
        <f>'6. sz.melléklet'!E13</f>
        <v>276042</v>
      </c>
      <c r="F115" s="780"/>
      <c r="G115" s="780"/>
      <c r="H115" s="780"/>
      <c r="I115" s="780">
        <f>SUM('6. sz.melléklet'!I13)</f>
        <v>0</v>
      </c>
      <c r="J115" s="780"/>
      <c r="K115" s="780"/>
      <c r="L115" s="781"/>
      <c r="M115" s="780">
        <f>SUM('6. sz.melléklet'!M13)</f>
        <v>32581712</v>
      </c>
      <c r="N115" s="782">
        <f>SUM(E115:M115)</f>
        <v>32857754</v>
      </c>
      <c r="O115" s="449"/>
      <c r="P115" s="406"/>
      <c r="Q115" s="406"/>
      <c r="R115" s="406"/>
      <c r="S115" s="406"/>
      <c r="T115" s="406"/>
    </row>
    <row r="116" spans="1:41" s="470" customFormat="1" ht="15" customHeight="1" x14ac:dyDescent="0.2">
      <c r="A116" s="621" t="s">
        <v>472</v>
      </c>
      <c r="B116" s="481" t="s">
        <v>473</v>
      </c>
      <c r="C116" s="785"/>
      <c r="D116" s="785"/>
      <c r="E116" s="785"/>
      <c r="F116" s="785"/>
      <c r="G116" s="785"/>
      <c r="H116" s="785"/>
      <c r="I116" s="785"/>
      <c r="J116" s="785"/>
      <c r="K116" s="785"/>
      <c r="L116" s="785"/>
      <c r="M116" s="785"/>
      <c r="N116" s="786"/>
      <c r="O116" s="716"/>
      <c r="P116" s="717"/>
      <c r="Q116" s="717"/>
      <c r="R116" s="717"/>
      <c r="S116" s="717"/>
      <c r="T116" s="717"/>
      <c r="U116" s="717"/>
      <c r="V116" s="717"/>
      <c r="W116" s="717"/>
      <c r="X116" s="717"/>
      <c r="Y116" s="717"/>
      <c r="Z116" s="717"/>
      <c r="AA116" s="717"/>
      <c r="AB116" s="717"/>
      <c r="AC116" s="717"/>
      <c r="AD116" s="717"/>
      <c r="AE116" s="717"/>
      <c r="AF116" s="717"/>
      <c r="AG116" s="717"/>
      <c r="AH116" s="717"/>
      <c r="AI116" s="717"/>
      <c r="AJ116" s="717"/>
      <c r="AK116" s="717"/>
      <c r="AL116" s="717"/>
      <c r="AM116" s="717"/>
      <c r="AN116" s="717"/>
      <c r="AO116" s="717"/>
    </row>
    <row r="117" spans="1:41" s="470" customFormat="1" ht="15" customHeight="1" x14ac:dyDescent="0.2">
      <c r="A117" s="1203"/>
      <c r="B117" s="1204" t="s">
        <v>349</v>
      </c>
      <c r="C117" s="834"/>
      <c r="D117" s="834"/>
      <c r="E117" s="834"/>
      <c r="F117" s="834"/>
      <c r="G117" s="834"/>
      <c r="H117" s="834"/>
      <c r="I117" s="834">
        <f>SUM('6. sz.melléklet'!I15)</f>
        <v>41964377</v>
      </c>
      <c r="J117" s="834"/>
      <c r="K117" s="834"/>
      <c r="L117" s="834"/>
      <c r="M117" s="834"/>
      <c r="N117" s="1205">
        <f>SUM(C117:M117)</f>
        <v>41964377</v>
      </c>
      <c r="O117" s="716"/>
      <c r="P117" s="717"/>
      <c r="Q117" s="717"/>
      <c r="R117" s="717"/>
      <c r="S117" s="717"/>
      <c r="T117" s="717"/>
      <c r="U117" s="717"/>
      <c r="V117" s="717"/>
      <c r="W117" s="717"/>
      <c r="X117" s="717"/>
      <c r="Y117" s="717"/>
      <c r="Z117" s="717"/>
      <c r="AA117" s="717"/>
      <c r="AB117" s="717"/>
      <c r="AC117" s="717"/>
      <c r="AD117" s="717"/>
      <c r="AE117" s="717"/>
      <c r="AF117" s="717"/>
      <c r="AG117" s="717"/>
      <c r="AH117" s="717"/>
      <c r="AI117" s="717"/>
      <c r="AJ117" s="717"/>
      <c r="AK117" s="717"/>
      <c r="AL117" s="717"/>
      <c r="AM117" s="717"/>
      <c r="AN117" s="717"/>
      <c r="AO117" s="717"/>
    </row>
    <row r="118" spans="1:41" s="470" customFormat="1" ht="15" customHeight="1" thickBot="1" x14ac:dyDescent="0.25">
      <c r="A118" s="1219"/>
      <c r="B118" s="1467" t="s">
        <v>350</v>
      </c>
      <c r="C118" s="1217"/>
      <c r="D118" s="1217"/>
      <c r="E118" s="1217"/>
      <c r="F118" s="1217"/>
      <c r="G118" s="1217"/>
      <c r="H118" s="1217"/>
      <c r="I118" s="787">
        <f>SUM('6. sz.melléklet'!I16)</f>
        <v>41964377</v>
      </c>
      <c r="J118" s="1217"/>
      <c r="K118" s="1217"/>
      <c r="L118" s="1218"/>
      <c r="M118" s="1217"/>
      <c r="N118" s="1478">
        <f>SUM(I118:M118)</f>
        <v>41964377</v>
      </c>
      <c r="O118" s="716"/>
      <c r="P118" s="717"/>
      <c r="Q118" s="717"/>
      <c r="R118" s="717"/>
      <c r="S118" s="717"/>
      <c r="T118" s="717"/>
      <c r="U118" s="717"/>
      <c r="V118" s="717"/>
      <c r="W118" s="717"/>
      <c r="X118" s="717"/>
      <c r="Y118" s="717"/>
      <c r="Z118" s="717"/>
      <c r="AA118" s="717"/>
      <c r="AB118" s="717"/>
      <c r="AC118" s="717"/>
      <c r="AD118" s="717"/>
      <c r="AE118" s="717"/>
      <c r="AF118" s="717"/>
      <c r="AG118" s="717"/>
      <c r="AH118" s="717"/>
      <c r="AI118" s="717"/>
      <c r="AJ118" s="717"/>
      <c r="AK118" s="717"/>
      <c r="AL118" s="717"/>
      <c r="AM118" s="717"/>
      <c r="AN118" s="717"/>
      <c r="AO118" s="717"/>
    </row>
    <row r="119" spans="1:41" ht="15" customHeight="1" x14ac:dyDescent="0.2">
      <c r="A119" s="1200" t="s">
        <v>235</v>
      </c>
      <c r="B119" s="1213" t="s">
        <v>242</v>
      </c>
      <c r="C119" s="1201"/>
      <c r="D119" s="1201"/>
      <c r="E119" s="1201"/>
      <c r="F119" s="1201"/>
      <c r="G119" s="1201"/>
      <c r="H119" s="1201"/>
      <c r="I119" s="1201"/>
      <c r="J119" s="1201"/>
      <c r="K119" s="1201"/>
      <c r="L119" s="1202"/>
      <c r="M119" s="1201"/>
      <c r="N119" s="796"/>
      <c r="O119" s="449"/>
      <c r="P119" s="406"/>
      <c r="Q119" s="406"/>
      <c r="R119" s="406"/>
      <c r="S119" s="406"/>
      <c r="T119" s="406"/>
    </row>
    <row r="120" spans="1:41" s="447" customFormat="1" ht="15" customHeight="1" thickBot="1" x14ac:dyDescent="0.25">
      <c r="A120" s="433"/>
      <c r="B120" s="401" t="s">
        <v>349</v>
      </c>
      <c r="C120" s="780">
        <f>SUM('6. sz.melléklet'!C9)</f>
        <v>0</v>
      </c>
      <c r="D120" s="780">
        <f>SUM('6. sz.melléklet'!D9)</f>
        <v>0</v>
      </c>
      <c r="E120" s="780">
        <f>SUM('6. sz.melléklet'!E9)</f>
        <v>47599000</v>
      </c>
      <c r="F120" s="780"/>
      <c r="G120" s="780">
        <f>SUM('6. sz.melléklet'!G9)</f>
        <v>238086912</v>
      </c>
      <c r="H120" s="780">
        <f>SUM('6. sz.melléklet'!H9)</f>
        <v>352724281</v>
      </c>
      <c r="I120" s="780"/>
      <c r="J120" s="780"/>
      <c r="K120" s="780"/>
      <c r="L120" s="780">
        <f>SUM('1.sz. melléklet'!B28)</f>
        <v>26500000</v>
      </c>
      <c r="M120" s="780"/>
      <c r="N120" s="782">
        <f>SUM(C120:M120)</f>
        <v>664910193</v>
      </c>
      <c r="O120" s="449"/>
      <c r="P120" s="406"/>
      <c r="Q120" s="406"/>
      <c r="R120" s="406"/>
      <c r="S120" s="406"/>
      <c r="T120" s="406"/>
      <c r="U120" s="406"/>
      <c r="V120" s="406"/>
      <c r="W120" s="406"/>
      <c r="X120" s="406"/>
      <c r="Y120" s="406"/>
      <c r="Z120" s="406"/>
      <c r="AA120" s="406"/>
      <c r="AB120" s="406"/>
      <c r="AC120" s="406"/>
      <c r="AD120" s="406"/>
      <c r="AE120" s="406"/>
      <c r="AF120" s="406"/>
      <c r="AG120" s="406"/>
      <c r="AH120" s="406"/>
      <c r="AI120" s="406"/>
      <c r="AJ120" s="406"/>
      <c r="AK120" s="406"/>
      <c r="AL120" s="406"/>
      <c r="AM120" s="406"/>
      <c r="AN120" s="406"/>
    </row>
    <row r="121" spans="1:41" ht="15" customHeight="1" thickBot="1" x14ac:dyDescent="0.25">
      <c r="A121" s="1468"/>
      <c r="B121" s="1450" t="s">
        <v>350</v>
      </c>
      <c r="C121" s="1469">
        <f>SUM('6. sz.melléklet'!C10)</f>
        <v>480000</v>
      </c>
      <c r="D121" s="1469">
        <f>SUM('6. sz.melléklet'!D10)</f>
        <v>84000</v>
      </c>
      <c r="E121" s="1469">
        <f>SUM('6. sz.melléklet'!E10)</f>
        <v>47599000</v>
      </c>
      <c r="F121" s="1469"/>
      <c r="G121" s="1469">
        <f>SUM('6. sz.melléklet'!G10)</f>
        <v>238086912</v>
      </c>
      <c r="H121" s="1469">
        <f>SUM('6. sz.melléklet'!H10)</f>
        <v>352724281</v>
      </c>
      <c r="I121" s="1469"/>
      <c r="J121" s="1469"/>
      <c r="K121" s="1469"/>
      <c r="L121" s="1472">
        <f>SUM('1.sz. melléklet'!C28)</f>
        <v>3571800</v>
      </c>
      <c r="M121" s="1469"/>
      <c r="N121" s="1471">
        <f>SUM(C121:M121)</f>
        <v>642545993</v>
      </c>
      <c r="O121" s="449"/>
      <c r="P121" s="406"/>
      <c r="Q121" s="406"/>
      <c r="R121" s="406"/>
      <c r="S121" s="406"/>
      <c r="T121" s="406"/>
    </row>
    <row r="122" spans="1:41" ht="15" customHeight="1" x14ac:dyDescent="0.2">
      <c r="A122" s="446" t="s">
        <v>226</v>
      </c>
      <c r="B122" s="1213" t="s">
        <v>128</v>
      </c>
      <c r="C122" s="794"/>
      <c r="D122" s="794"/>
      <c r="E122" s="794"/>
      <c r="F122" s="1201"/>
      <c r="G122" s="1201"/>
      <c r="H122" s="1201"/>
      <c r="I122" s="1201"/>
      <c r="J122" s="1201"/>
      <c r="K122" s="1201"/>
      <c r="L122" s="1202"/>
      <c r="M122" s="1201"/>
      <c r="N122" s="796"/>
      <c r="O122" s="449"/>
      <c r="P122" s="406"/>
      <c r="Q122" s="406"/>
      <c r="R122" s="406"/>
      <c r="S122" s="406"/>
      <c r="T122" s="406"/>
    </row>
    <row r="123" spans="1:41" s="447" customFormat="1" ht="15" customHeight="1" thickBot="1" x14ac:dyDescent="0.25">
      <c r="A123" s="403"/>
      <c r="B123" s="401" t="s">
        <v>349</v>
      </c>
      <c r="C123" s="789">
        <f>SUM('13.sz.melléklet'!C13)</f>
        <v>9382000</v>
      </c>
      <c r="D123" s="789">
        <f>SUM('13.sz.melléklet'!D13)</f>
        <v>1688000</v>
      </c>
      <c r="E123" s="789">
        <f>SUM('13.sz.melléklet'!E13)</f>
        <v>2850000</v>
      </c>
      <c r="F123" s="780"/>
      <c r="G123" s="780">
        <f>SUM('13.sz.melléklet'!G13)</f>
        <v>0</v>
      </c>
      <c r="H123" s="780">
        <f>SUM('13.sz.melléklet'!F13)</f>
        <v>0</v>
      </c>
      <c r="I123" s="780">
        <f>'6. sz.melléklet'!I18</f>
        <v>20030004</v>
      </c>
      <c r="J123" s="780"/>
      <c r="K123" s="780"/>
      <c r="L123" s="781"/>
      <c r="M123" s="780"/>
      <c r="N123" s="782">
        <f>SUM(C123:M123)</f>
        <v>33950004</v>
      </c>
      <c r="O123" s="449"/>
      <c r="P123" s="406"/>
      <c r="Q123" s="406"/>
      <c r="R123" s="406"/>
      <c r="S123" s="406"/>
      <c r="T123" s="406"/>
      <c r="U123" s="406"/>
      <c r="V123" s="406"/>
      <c r="W123" s="406"/>
      <c r="X123" s="406"/>
      <c r="Y123" s="406"/>
      <c r="Z123" s="406"/>
      <c r="AA123" s="406"/>
      <c r="AB123" s="406"/>
      <c r="AC123" s="406"/>
      <c r="AD123" s="406"/>
      <c r="AE123" s="406"/>
      <c r="AF123" s="406"/>
      <c r="AG123" s="406"/>
      <c r="AH123" s="406"/>
      <c r="AI123" s="406"/>
      <c r="AJ123" s="406"/>
      <c r="AK123" s="406"/>
      <c r="AL123" s="406"/>
      <c r="AM123" s="406"/>
      <c r="AN123" s="406"/>
    </row>
    <row r="124" spans="1:41" ht="15" customHeight="1" thickBot="1" x14ac:dyDescent="0.25">
      <c r="A124" s="404"/>
      <c r="B124" s="402" t="s">
        <v>350</v>
      </c>
      <c r="C124" s="790">
        <f>SUM('13.sz.melléklet'!C14)</f>
        <v>10151100</v>
      </c>
      <c r="D124" s="790">
        <f>SUM('13.sz.melléklet'!D14)</f>
        <v>1822591</v>
      </c>
      <c r="E124" s="790">
        <f>SUM('13.sz.melléklet'!E14)</f>
        <v>2850000</v>
      </c>
      <c r="F124" s="1472"/>
      <c r="G124" s="1472">
        <f>SUM('13.sz.melléklet'!G14)</f>
        <v>0</v>
      </c>
      <c r="H124" s="1472">
        <f>SUM('13.sz.melléklet'!F14)</f>
        <v>0</v>
      </c>
      <c r="I124" s="1472">
        <f>'6. sz.melléklet'!I19</f>
        <v>20030004</v>
      </c>
      <c r="J124" s="1472"/>
      <c r="K124" s="1472"/>
      <c r="L124" s="1473"/>
      <c r="M124" s="1472"/>
      <c r="N124" s="779">
        <f>SUM(C124:M124)</f>
        <v>34853695</v>
      </c>
      <c r="O124" s="449"/>
      <c r="P124" s="406"/>
      <c r="Q124" s="406"/>
      <c r="R124" s="406"/>
      <c r="S124" s="406"/>
      <c r="T124" s="406"/>
    </row>
    <row r="125" spans="1:41" ht="15" customHeight="1" x14ac:dyDescent="0.2">
      <c r="A125" s="511" t="s">
        <v>239</v>
      </c>
      <c r="B125" s="1216" t="s">
        <v>240</v>
      </c>
      <c r="C125" s="1177"/>
      <c r="D125" s="1177"/>
      <c r="E125" s="1177"/>
      <c r="F125" s="1201"/>
      <c r="G125" s="1201"/>
      <c r="H125" s="1201"/>
      <c r="I125" s="1201"/>
      <c r="J125" s="1201"/>
      <c r="K125" s="1201"/>
      <c r="L125" s="1202"/>
      <c r="M125" s="1201"/>
      <c r="N125" s="796"/>
      <c r="O125" s="449"/>
      <c r="P125" s="406"/>
      <c r="Q125" s="406"/>
      <c r="R125" s="406"/>
      <c r="S125" s="406"/>
      <c r="T125" s="406"/>
    </row>
    <row r="126" spans="1:41" s="447" customFormat="1" ht="15" customHeight="1" thickBot="1" x14ac:dyDescent="0.25">
      <c r="A126" s="400"/>
      <c r="B126" s="401" t="s">
        <v>349</v>
      </c>
      <c r="C126" s="726"/>
      <c r="D126" s="726"/>
      <c r="E126" s="726">
        <f>SUM('16.sz. melléklet'!E13)</f>
        <v>1524000</v>
      </c>
      <c r="F126" s="780"/>
      <c r="G126" s="780"/>
      <c r="H126" s="780">
        <f>'16.sz. melléklet'!F13</f>
        <v>250000</v>
      </c>
      <c r="I126" s="780"/>
      <c r="J126" s="780"/>
      <c r="K126" s="780"/>
      <c r="L126" s="781"/>
      <c r="M126" s="780"/>
      <c r="N126" s="782">
        <f>SUM(C126:M126)</f>
        <v>1774000</v>
      </c>
      <c r="O126" s="449"/>
      <c r="P126" s="406"/>
      <c r="Q126" s="406"/>
      <c r="R126" s="406"/>
      <c r="S126" s="406"/>
      <c r="T126" s="406"/>
      <c r="U126" s="406"/>
      <c r="V126" s="406"/>
      <c r="W126" s="406"/>
      <c r="X126" s="406"/>
      <c r="Y126" s="406"/>
      <c r="Z126" s="406"/>
      <c r="AA126" s="406"/>
      <c r="AB126" s="406"/>
      <c r="AC126" s="406"/>
      <c r="AD126" s="406"/>
      <c r="AE126" s="406"/>
      <c r="AF126" s="406"/>
      <c r="AG126" s="406"/>
      <c r="AH126" s="406"/>
      <c r="AI126" s="406"/>
      <c r="AJ126" s="406"/>
      <c r="AK126" s="406"/>
      <c r="AL126" s="406"/>
      <c r="AM126" s="406"/>
      <c r="AN126" s="406"/>
    </row>
    <row r="127" spans="1:41" ht="15" customHeight="1" thickBot="1" x14ac:dyDescent="0.25">
      <c r="A127" s="1449"/>
      <c r="B127" s="1450" t="s">
        <v>350</v>
      </c>
      <c r="C127" s="1451"/>
      <c r="D127" s="1451"/>
      <c r="E127" s="1451">
        <f>SUM('16.sz. melléklet'!E14)</f>
        <v>1524000</v>
      </c>
      <c r="F127" s="1469"/>
      <c r="G127" s="1469"/>
      <c r="H127" s="1472">
        <f>'16.sz. melléklet'!F14</f>
        <v>250000</v>
      </c>
      <c r="I127" s="1469"/>
      <c r="J127" s="1469"/>
      <c r="K127" s="1469"/>
      <c r="L127" s="1470"/>
      <c r="M127" s="1469"/>
      <c r="N127" s="1471">
        <f>SUM(C127:M127)</f>
        <v>1774000</v>
      </c>
      <c r="O127" s="449"/>
      <c r="P127" s="406"/>
      <c r="Q127" s="406"/>
      <c r="R127" s="406"/>
      <c r="S127" s="406"/>
      <c r="T127" s="406"/>
    </row>
    <row r="128" spans="1:41" ht="15" customHeight="1" x14ac:dyDescent="0.2">
      <c r="A128" s="446" t="s">
        <v>249</v>
      </c>
      <c r="B128" s="445" t="s">
        <v>162</v>
      </c>
      <c r="C128" s="736"/>
      <c r="D128" s="736"/>
      <c r="E128" s="736"/>
      <c r="F128" s="736"/>
      <c r="G128" s="736"/>
      <c r="H128" s="736"/>
      <c r="I128" s="794"/>
      <c r="J128" s="794"/>
      <c r="K128" s="794"/>
      <c r="L128" s="795"/>
      <c r="M128" s="794"/>
      <c r="N128" s="796"/>
      <c r="O128" s="449"/>
      <c r="P128" s="406"/>
      <c r="Q128" s="406"/>
      <c r="R128" s="406"/>
      <c r="S128" s="406"/>
      <c r="T128" s="406"/>
    </row>
    <row r="129" spans="1:40" s="447" customFormat="1" ht="15" customHeight="1" thickBot="1" x14ac:dyDescent="0.25">
      <c r="A129" s="403"/>
      <c r="B129" s="401" t="s">
        <v>349</v>
      </c>
      <c r="C129" s="721"/>
      <c r="D129" s="721"/>
      <c r="E129" s="721">
        <f>SUM('6. sz.melléklet'!E33)</f>
        <v>9615000</v>
      </c>
      <c r="F129" s="721"/>
      <c r="G129" s="721">
        <f>SUM('6. sz.melléklet'!G33)</f>
        <v>0</v>
      </c>
      <c r="H129" s="721"/>
      <c r="I129" s="789"/>
      <c r="J129" s="789"/>
      <c r="K129" s="789"/>
      <c r="L129" s="791"/>
      <c r="M129" s="789"/>
      <c r="N129" s="782">
        <f>SUM(C129:M129)</f>
        <v>9615000</v>
      </c>
      <c r="O129" s="449"/>
      <c r="P129" s="406"/>
      <c r="Q129" s="406"/>
      <c r="R129" s="406"/>
      <c r="S129" s="406"/>
      <c r="T129" s="406"/>
      <c r="U129" s="406"/>
      <c r="V129" s="406"/>
      <c r="W129" s="406"/>
      <c r="X129" s="406"/>
      <c r="Y129" s="406"/>
      <c r="Z129" s="406"/>
      <c r="AA129" s="406"/>
      <c r="AB129" s="406"/>
      <c r="AC129" s="406"/>
      <c r="AD129" s="406"/>
      <c r="AE129" s="406"/>
      <c r="AF129" s="406"/>
      <c r="AG129" s="406"/>
      <c r="AH129" s="406"/>
      <c r="AI129" s="406"/>
      <c r="AJ129" s="406"/>
      <c r="AK129" s="406"/>
      <c r="AL129" s="406"/>
      <c r="AM129" s="406"/>
      <c r="AN129" s="406"/>
    </row>
    <row r="130" spans="1:40" ht="15" customHeight="1" thickBot="1" x14ac:dyDescent="0.25">
      <c r="A130" s="1462"/>
      <c r="B130" s="1450" t="s">
        <v>350</v>
      </c>
      <c r="C130" s="1460"/>
      <c r="D130" s="1460"/>
      <c r="E130" s="1460">
        <f>SUM('6. sz.melléklet'!E34)</f>
        <v>9615000</v>
      </c>
      <c r="F130" s="1460"/>
      <c r="G130" s="1460">
        <f>SUM('6. sz.melléklet'!G34)</f>
        <v>0</v>
      </c>
      <c r="H130" s="1460"/>
      <c r="I130" s="1474"/>
      <c r="J130" s="1474"/>
      <c r="K130" s="1474"/>
      <c r="L130" s="1475"/>
      <c r="M130" s="1474"/>
      <c r="N130" s="1471">
        <f>SUM(C130:M130)</f>
        <v>9615000</v>
      </c>
      <c r="O130" s="449"/>
      <c r="P130" s="406"/>
      <c r="Q130" s="406"/>
      <c r="R130" s="406"/>
      <c r="S130" s="406"/>
      <c r="T130" s="406"/>
    </row>
    <row r="131" spans="1:40" ht="38.25" x14ac:dyDescent="0.2">
      <c r="A131" s="446" t="s">
        <v>250</v>
      </c>
      <c r="B131" s="445" t="s">
        <v>251</v>
      </c>
      <c r="C131" s="736"/>
      <c r="D131" s="736"/>
      <c r="E131" s="736"/>
      <c r="F131" s="736"/>
      <c r="G131" s="736"/>
      <c r="H131" s="736"/>
      <c r="I131" s="794"/>
      <c r="J131" s="794"/>
      <c r="K131" s="794"/>
      <c r="L131" s="795"/>
      <c r="M131" s="794"/>
      <c r="N131" s="796"/>
      <c r="O131" s="449"/>
      <c r="P131" s="406"/>
      <c r="Q131" s="406"/>
      <c r="R131" s="406"/>
      <c r="S131" s="406"/>
      <c r="T131" s="406"/>
    </row>
    <row r="132" spans="1:40" s="447" customFormat="1" ht="15" customHeight="1" thickBot="1" x14ac:dyDescent="0.25">
      <c r="A132" s="403"/>
      <c r="B132" s="401" t="s">
        <v>349</v>
      </c>
      <c r="C132" s="721"/>
      <c r="D132" s="721"/>
      <c r="E132" s="721">
        <f>SUM('6. sz.melléklet'!E36)</f>
        <v>1188000</v>
      </c>
      <c r="F132" s="721"/>
      <c r="G132" s="721"/>
      <c r="H132" s="721"/>
      <c r="I132" s="789"/>
      <c r="J132" s="789"/>
      <c r="K132" s="789"/>
      <c r="L132" s="791"/>
      <c r="M132" s="789"/>
      <c r="N132" s="782">
        <f>SUM(C132:M132)</f>
        <v>1188000</v>
      </c>
      <c r="O132" s="449"/>
      <c r="P132" s="406"/>
      <c r="Q132" s="406"/>
      <c r="R132" s="406"/>
      <c r="S132" s="406"/>
      <c r="T132" s="406"/>
      <c r="U132" s="406"/>
      <c r="V132" s="406"/>
      <c r="W132" s="406"/>
      <c r="X132" s="406"/>
      <c r="Y132" s="406"/>
      <c r="Z132" s="406"/>
      <c r="AA132" s="406"/>
      <c r="AB132" s="406"/>
      <c r="AC132" s="406"/>
      <c r="AD132" s="406"/>
      <c r="AE132" s="406"/>
      <c r="AF132" s="406"/>
      <c r="AG132" s="406"/>
      <c r="AH132" s="406"/>
      <c r="AI132" s="406"/>
      <c r="AJ132" s="406"/>
      <c r="AK132" s="406"/>
      <c r="AL132" s="406"/>
      <c r="AM132" s="406"/>
      <c r="AN132" s="406"/>
    </row>
    <row r="133" spans="1:40" ht="15" customHeight="1" thickBot="1" x14ac:dyDescent="0.25">
      <c r="A133" s="404"/>
      <c r="B133" s="402" t="s">
        <v>350</v>
      </c>
      <c r="C133" s="723"/>
      <c r="D133" s="723"/>
      <c r="E133" s="723">
        <f>SUM('6. sz.melléklet'!E37)</f>
        <v>1188000</v>
      </c>
      <c r="F133" s="723"/>
      <c r="G133" s="723"/>
      <c r="H133" s="723"/>
      <c r="I133" s="790"/>
      <c r="J133" s="790"/>
      <c r="K133" s="790"/>
      <c r="L133" s="792"/>
      <c r="M133" s="790"/>
      <c r="N133" s="779">
        <f>SUM(C133:M133)</f>
        <v>1188000</v>
      </c>
      <c r="O133" s="449"/>
      <c r="P133" s="406"/>
      <c r="Q133" s="406"/>
      <c r="R133" s="406"/>
      <c r="S133" s="406"/>
      <c r="T133" s="406"/>
    </row>
    <row r="134" spans="1:40" ht="15" customHeight="1" x14ac:dyDescent="0.2">
      <c r="A134" s="446" t="s">
        <v>270</v>
      </c>
      <c r="B134" s="445" t="s">
        <v>1</v>
      </c>
      <c r="C134" s="1206"/>
      <c r="D134" s="736"/>
      <c r="E134" s="736"/>
      <c r="F134" s="736"/>
      <c r="G134" s="736"/>
      <c r="H134" s="736"/>
      <c r="I134" s="794"/>
      <c r="J134" s="794"/>
      <c r="K134" s="794"/>
      <c r="L134" s="795"/>
      <c r="M134" s="794"/>
      <c r="N134" s="796"/>
      <c r="O134" s="449"/>
      <c r="P134" s="406"/>
      <c r="Q134" s="406"/>
      <c r="R134" s="406"/>
      <c r="S134" s="406"/>
      <c r="T134" s="406"/>
    </row>
    <row r="135" spans="1:40" s="447" customFormat="1" ht="15" customHeight="1" thickBot="1" x14ac:dyDescent="0.25">
      <c r="A135" s="403"/>
      <c r="B135" s="401" t="s">
        <v>349</v>
      </c>
      <c r="C135" s="793"/>
      <c r="D135" s="721"/>
      <c r="E135" s="721">
        <f>SUM('6. sz.melléklet'!E39)</f>
        <v>18384000</v>
      </c>
      <c r="F135" s="721"/>
      <c r="G135" s="721"/>
      <c r="H135" s="721"/>
      <c r="I135" s="789"/>
      <c r="J135" s="789"/>
      <c r="K135" s="789"/>
      <c r="L135" s="791"/>
      <c r="M135" s="789"/>
      <c r="N135" s="782">
        <f>SUM(C135:M135)</f>
        <v>18384000</v>
      </c>
      <c r="O135" s="449"/>
      <c r="P135" s="406"/>
      <c r="Q135" s="406"/>
      <c r="R135" s="406"/>
      <c r="S135" s="406"/>
      <c r="T135" s="406"/>
      <c r="U135" s="406"/>
      <c r="V135" s="406"/>
      <c r="W135" s="406"/>
      <c r="X135" s="406"/>
      <c r="Y135" s="406"/>
      <c r="Z135" s="406"/>
      <c r="AA135" s="406"/>
      <c r="AB135" s="406"/>
      <c r="AC135" s="406"/>
      <c r="AD135" s="406"/>
      <c r="AE135" s="406"/>
      <c r="AF135" s="406"/>
      <c r="AG135" s="406"/>
      <c r="AH135" s="406"/>
      <c r="AI135" s="406"/>
      <c r="AJ135" s="406"/>
      <c r="AK135" s="406"/>
      <c r="AL135" s="406"/>
      <c r="AM135" s="406"/>
      <c r="AN135" s="406"/>
    </row>
    <row r="136" spans="1:40" ht="15" customHeight="1" thickBot="1" x14ac:dyDescent="0.25">
      <c r="A136" s="1462"/>
      <c r="B136" s="1450" t="s">
        <v>350</v>
      </c>
      <c r="C136" s="1476"/>
      <c r="D136" s="1460"/>
      <c r="E136" s="1460">
        <f>SUM('6. sz.melléklet'!E40)</f>
        <v>18384000</v>
      </c>
      <c r="F136" s="1460"/>
      <c r="G136" s="1460"/>
      <c r="H136" s="1460"/>
      <c r="I136" s="1474"/>
      <c r="J136" s="1474"/>
      <c r="K136" s="1474"/>
      <c r="L136" s="1475"/>
      <c r="M136" s="1474"/>
      <c r="N136" s="1471">
        <f>SUM(C136:M136)</f>
        <v>18384000</v>
      </c>
      <c r="O136" s="449"/>
      <c r="P136" s="406"/>
      <c r="Q136" s="406"/>
      <c r="R136" s="406"/>
      <c r="S136" s="406"/>
      <c r="T136" s="406"/>
    </row>
    <row r="137" spans="1:40" x14ac:dyDescent="0.2">
      <c r="A137" s="446" t="s">
        <v>271</v>
      </c>
      <c r="B137" s="445" t="s">
        <v>485</v>
      </c>
      <c r="C137" s="736"/>
      <c r="D137" s="736"/>
      <c r="E137" s="736"/>
      <c r="F137" s="736"/>
      <c r="G137" s="736"/>
      <c r="H137" s="736"/>
      <c r="I137" s="794"/>
      <c r="J137" s="794"/>
      <c r="K137" s="794"/>
      <c r="L137" s="795"/>
      <c r="M137" s="794"/>
      <c r="N137" s="796"/>
      <c r="O137" s="449"/>
      <c r="P137" s="406"/>
      <c r="Q137" s="406"/>
      <c r="R137" s="406"/>
      <c r="S137" s="406"/>
      <c r="T137" s="406"/>
    </row>
    <row r="138" spans="1:40" s="447" customFormat="1" ht="15" customHeight="1" thickBot="1" x14ac:dyDescent="0.25">
      <c r="A138" s="403"/>
      <c r="B138" s="401" t="s">
        <v>349</v>
      </c>
      <c r="C138" s="721"/>
      <c r="D138" s="721"/>
      <c r="E138" s="721">
        <f>SUM('6. sz.melléklet'!E42)</f>
        <v>4598000</v>
      </c>
      <c r="F138" s="721"/>
      <c r="G138" s="721"/>
      <c r="H138" s="721"/>
      <c r="I138" s="789"/>
      <c r="J138" s="789"/>
      <c r="K138" s="789"/>
      <c r="L138" s="791"/>
      <c r="M138" s="789"/>
      <c r="N138" s="782">
        <f>SUM(C138:M138)</f>
        <v>4598000</v>
      </c>
      <c r="O138" s="449"/>
      <c r="P138" s="406"/>
      <c r="Q138" s="406"/>
      <c r="R138" s="406"/>
      <c r="S138" s="406"/>
      <c r="T138" s="406"/>
      <c r="U138" s="406"/>
      <c r="V138" s="406"/>
      <c r="W138" s="406"/>
      <c r="X138" s="406"/>
      <c r="Y138" s="406"/>
      <c r="Z138" s="406"/>
      <c r="AA138" s="406"/>
      <c r="AB138" s="406"/>
      <c r="AC138" s="406"/>
      <c r="AD138" s="406"/>
      <c r="AE138" s="406"/>
      <c r="AF138" s="406"/>
      <c r="AG138" s="406"/>
      <c r="AH138" s="406"/>
      <c r="AI138" s="406"/>
      <c r="AJ138" s="406"/>
      <c r="AK138" s="406"/>
      <c r="AL138" s="406"/>
      <c r="AM138" s="406"/>
      <c r="AN138" s="406"/>
    </row>
    <row r="139" spans="1:40" ht="15" customHeight="1" thickBot="1" x14ac:dyDescent="0.25">
      <c r="A139" s="1462"/>
      <c r="B139" s="1450" t="s">
        <v>350</v>
      </c>
      <c r="C139" s="1460"/>
      <c r="D139" s="1460"/>
      <c r="E139" s="1460">
        <f>SUM('6. sz.melléklet'!E43)</f>
        <v>4598000</v>
      </c>
      <c r="F139" s="1460"/>
      <c r="G139" s="1460"/>
      <c r="H139" s="1460"/>
      <c r="I139" s="1474"/>
      <c r="J139" s="1474"/>
      <c r="K139" s="1474"/>
      <c r="L139" s="1475"/>
      <c r="M139" s="1474"/>
      <c r="N139" s="1471">
        <f>SUM(C139:M139)</f>
        <v>4598000</v>
      </c>
      <c r="O139" s="449"/>
      <c r="P139" s="406"/>
      <c r="Q139" s="406"/>
      <c r="R139" s="406"/>
      <c r="S139" s="406"/>
      <c r="T139" s="406"/>
    </row>
    <row r="140" spans="1:40" ht="15" customHeight="1" x14ac:dyDescent="0.2">
      <c r="A140" s="446" t="s">
        <v>241</v>
      </c>
      <c r="B140" s="445" t="s">
        <v>285</v>
      </c>
      <c r="C140" s="736"/>
      <c r="D140" s="736"/>
      <c r="E140" s="736"/>
      <c r="F140" s="736"/>
      <c r="G140" s="736"/>
      <c r="H140" s="736"/>
      <c r="I140" s="794"/>
      <c r="J140" s="794"/>
      <c r="K140" s="794"/>
      <c r="L140" s="795"/>
      <c r="M140" s="794"/>
      <c r="N140" s="796"/>
      <c r="O140" s="449"/>
      <c r="P140" s="406"/>
      <c r="Q140" s="406"/>
      <c r="R140" s="406"/>
      <c r="S140" s="406"/>
      <c r="T140" s="406"/>
    </row>
    <row r="141" spans="1:40" s="447" customFormat="1" ht="15" customHeight="1" thickBot="1" x14ac:dyDescent="0.25">
      <c r="A141" s="403"/>
      <c r="B141" s="401" t="s">
        <v>349</v>
      </c>
      <c r="C141" s="721">
        <f>SUM('16.sz. melléklet'!C16)</f>
        <v>45556000</v>
      </c>
      <c r="D141" s="721">
        <f>SUM('16.sz. melléklet'!D16)</f>
        <v>8701000</v>
      </c>
      <c r="E141" s="721">
        <f>SUM('16.sz. melléklet'!E16)</f>
        <v>13574000</v>
      </c>
      <c r="F141" s="721"/>
      <c r="G141" s="721"/>
      <c r="H141" s="721">
        <f>SUM('16.sz. melléklet'!F16)</f>
        <v>2670000</v>
      </c>
      <c r="I141" s="789"/>
      <c r="J141" s="789"/>
      <c r="K141" s="789"/>
      <c r="L141" s="791"/>
      <c r="M141" s="789"/>
      <c r="N141" s="782">
        <f>SUM(C141:M141)</f>
        <v>70501000</v>
      </c>
      <c r="O141" s="449"/>
      <c r="P141" s="406"/>
      <c r="Q141" s="406"/>
      <c r="R141" s="406"/>
      <c r="S141" s="406"/>
      <c r="T141" s="406"/>
      <c r="U141" s="406"/>
      <c r="V141" s="406"/>
      <c r="W141" s="406"/>
      <c r="X141" s="406"/>
      <c r="Y141" s="406"/>
      <c r="Z141" s="406"/>
      <c r="AA141" s="406"/>
      <c r="AB141" s="406"/>
      <c r="AC141" s="406"/>
      <c r="AD141" s="406"/>
      <c r="AE141" s="406"/>
      <c r="AF141" s="406"/>
      <c r="AG141" s="406"/>
      <c r="AH141" s="406"/>
      <c r="AI141" s="406"/>
      <c r="AJ141" s="406"/>
      <c r="AK141" s="406"/>
      <c r="AL141" s="406"/>
      <c r="AM141" s="406"/>
      <c r="AN141" s="406"/>
    </row>
    <row r="142" spans="1:40" ht="15" customHeight="1" thickBot="1" x14ac:dyDescent="0.25">
      <c r="A142" s="1462"/>
      <c r="B142" s="1450" t="s">
        <v>350</v>
      </c>
      <c r="C142" s="1460">
        <f>SUM('16.sz. melléklet'!C17)</f>
        <v>48720400</v>
      </c>
      <c r="D142" s="1460">
        <f>SUM('16.sz. melléklet'!D17)</f>
        <v>9255000</v>
      </c>
      <c r="E142" s="1460">
        <f>SUM('16.sz. melléklet'!E17)</f>
        <v>13574000</v>
      </c>
      <c r="F142" s="1460"/>
      <c r="G142" s="1460"/>
      <c r="H142" s="1460">
        <f>SUM('16.sz. melléklet'!F17)</f>
        <v>2670000</v>
      </c>
      <c r="I142" s="1474"/>
      <c r="J142" s="1474"/>
      <c r="K142" s="1474"/>
      <c r="L142" s="1475"/>
      <c r="M142" s="1474"/>
      <c r="N142" s="1471">
        <f>SUM(C142:M142)</f>
        <v>74219400</v>
      </c>
      <c r="O142" s="449"/>
      <c r="P142" s="406"/>
      <c r="Q142" s="406"/>
      <c r="R142" s="406"/>
      <c r="S142" s="406"/>
      <c r="T142" s="406"/>
    </row>
    <row r="143" spans="1:40" ht="15" customHeight="1" x14ac:dyDescent="0.2">
      <c r="A143" s="446" t="s">
        <v>252</v>
      </c>
      <c r="B143" s="445" t="s">
        <v>253</v>
      </c>
      <c r="C143" s="736"/>
      <c r="D143" s="736"/>
      <c r="E143" s="721">
        <f>SUM('6. sz.melléklet'!E44)</f>
        <v>0</v>
      </c>
      <c r="F143" s="736"/>
      <c r="G143" s="736"/>
      <c r="H143" s="736"/>
      <c r="I143" s="794"/>
      <c r="J143" s="794"/>
      <c r="K143" s="794"/>
      <c r="L143" s="795"/>
      <c r="M143" s="794"/>
      <c r="N143" s="796"/>
      <c r="O143" s="449"/>
      <c r="P143" s="406"/>
      <c r="Q143" s="406"/>
      <c r="R143" s="406"/>
      <c r="S143" s="406"/>
      <c r="T143" s="406"/>
    </row>
    <row r="144" spans="1:40" s="447" customFormat="1" ht="15" customHeight="1" thickBot="1" x14ac:dyDescent="0.25">
      <c r="A144" s="403"/>
      <c r="B144" s="401" t="s">
        <v>349</v>
      </c>
      <c r="C144" s="721"/>
      <c r="D144" s="721"/>
      <c r="E144" s="721">
        <f>SUM('6. sz.melléklet'!E45)</f>
        <v>1702000</v>
      </c>
      <c r="F144" s="721"/>
      <c r="G144" s="721"/>
      <c r="H144" s="721"/>
      <c r="I144" s="789"/>
      <c r="J144" s="789"/>
      <c r="K144" s="789"/>
      <c r="L144" s="791"/>
      <c r="M144" s="789"/>
      <c r="N144" s="782">
        <f>SUM(C144:M144)</f>
        <v>1702000</v>
      </c>
      <c r="O144" s="449"/>
      <c r="P144" s="406"/>
      <c r="Q144" s="406"/>
      <c r="R144" s="406"/>
      <c r="S144" s="406"/>
      <c r="T144" s="406"/>
      <c r="U144" s="406"/>
      <c r="V144" s="406"/>
      <c r="W144" s="406"/>
      <c r="X144" s="406"/>
      <c r="Y144" s="406"/>
      <c r="Z144" s="406"/>
      <c r="AA144" s="406"/>
      <c r="AB144" s="406"/>
      <c r="AC144" s="406"/>
      <c r="AD144" s="406"/>
      <c r="AE144" s="406"/>
      <c r="AF144" s="406"/>
      <c r="AG144" s="406"/>
      <c r="AH144" s="406"/>
      <c r="AI144" s="406"/>
      <c r="AJ144" s="406"/>
      <c r="AK144" s="406"/>
      <c r="AL144" s="406"/>
      <c r="AM144" s="406"/>
      <c r="AN144" s="406"/>
    </row>
    <row r="145" spans="1:40" ht="15" customHeight="1" thickBot="1" x14ac:dyDescent="0.25">
      <c r="A145" s="1462"/>
      <c r="B145" s="1450" t="s">
        <v>350</v>
      </c>
      <c r="C145" s="1460"/>
      <c r="D145" s="1460"/>
      <c r="E145" s="723">
        <f>SUM('6. sz.melléklet'!E46)</f>
        <v>1702000</v>
      </c>
      <c r="F145" s="1460"/>
      <c r="G145" s="1460"/>
      <c r="H145" s="1460"/>
      <c r="I145" s="1474"/>
      <c r="J145" s="1474"/>
      <c r="K145" s="1474"/>
      <c r="L145" s="1475"/>
      <c r="M145" s="1474"/>
      <c r="N145" s="1471">
        <f>SUM(C145:M145)</f>
        <v>1702000</v>
      </c>
      <c r="O145" s="449"/>
      <c r="P145" s="406"/>
      <c r="Q145" s="406"/>
      <c r="R145" s="406"/>
      <c r="S145" s="406"/>
      <c r="T145" s="406"/>
    </row>
    <row r="146" spans="1:40" ht="25.5" x14ac:dyDescent="0.2">
      <c r="A146" s="446" t="s">
        <v>254</v>
      </c>
      <c r="B146" s="445" t="s">
        <v>108</v>
      </c>
      <c r="C146" s="736"/>
      <c r="D146" s="736"/>
      <c r="E146" s="736"/>
      <c r="F146" s="736"/>
      <c r="G146" s="736"/>
      <c r="H146" s="736"/>
      <c r="I146" s="794"/>
      <c r="J146" s="794"/>
      <c r="K146" s="794"/>
      <c r="L146" s="795"/>
      <c r="M146" s="794"/>
      <c r="N146" s="796"/>
      <c r="O146" s="449"/>
      <c r="P146" s="406"/>
      <c r="Q146" s="406"/>
      <c r="R146" s="406"/>
      <c r="S146" s="406"/>
      <c r="T146" s="406"/>
    </row>
    <row r="147" spans="1:40" s="447" customFormat="1" ht="15" customHeight="1" thickBot="1" x14ac:dyDescent="0.25">
      <c r="A147" s="403"/>
      <c r="B147" s="401" t="s">
        <v>349</v>
      </c>
      <c r="C147" s="721"/>
      <c r="D147" s="721"/>
      <c r="E147" s="721">
        <f>SUM('6. sz.melléklet'!E48)</f>
        <v>23838000</v>
      </c>
      <c r="F147" s="721"/>
      <c r="G147" s="721"/>
      <c r="H147" s="721">
        <f>SUM('6. sz.melléklet'!H48)</f>
        <v>400000</v>
      </c>
      <c r="I147" s="789"/>
      <c r="J147" s="789"/>
      <c r="K147" s="789"/>
      <c r="L147" s="791"/>
      <c r="M147" s="789"/>
      <c r="N147" s="782">
        <f>SUM(C147:M147)</f>
        <v>24238000</v>
      </c>
      <c r="O147" s="449"/>
      <c r="P147" s="406"/>
      <c r="Q147" s="406"/>
      <c r="R147" s="406"/>
      <c r="S147" s="406"/>
      <c r="T147" s="406"/>
      <c r="U147" s="406"/>
      <c r="V147" s="406"/>
      <c r="W147" s="406"/>
      <c r="X147" s="406"/>
      <c r="Y147" s="406"/>
      <c r="Z147" s="406"/>
      <c r="AA147" s="406"/>
      <c r="AB147" s="406"/>
      <c r="AC147" s="406"/>
      <c r="AD147" s="406"/>
      <c r="AE147" s="406"/>
      <c r="AF147" s="406"/>
      <c r="AG147" s="406"/>
      <c r="AH147" s="406"/>
      <c r="AI147" s="406"/>
      <c r="AJ147" s="406"/>
      <c r="AK147" s="406"/>
      <c r="AL147" s="406"/>
      <c r="AM147" s="406"/>
      <c r="AN147" s="406"/>
    </row>
    <row r="148" spans="1:40" ht="15" customHeight="1" thickBot="1" x14ac:dyDescent="0.25">
      <c r="A148" s="1462"/>
      <c r="B148" s="1450" t="s">
        <v>350</v>
      </c>
      <c r="C148" s="1460"/>
      <c r="D148" s="1460"/>
      <c r="E148" s="1460">
        <f>SUM('6. sz.melléklet'!E49)</f>
        <v>23838000</v>
      </c>
      <c r="F148" s="1460"/>
      <c r="G148" s="1460"/>
      <c r="H148" s="723">
        <f>SUM('6. sz.melléklet'!H49)</f>
        <v>400000</v>
      </c>
      <c r="I148" s="1474"/>
      <c r="J148" s="1474"/>
      <c r="K148" s="1474"/>
      <c r="L148" s="1475"/>
      <c r="M148" s="1474"/>
      <c r="N148" s="1471">
        <f>SUM(C148:M148)</f>
        <v>24238000</v>
      </c>
      <c r="O148" s="449"/>
      <c r="P148" s="406"/>
      <c r="Q148" s="406"/>
      <c r="R148" s="406"/>
      <c r="S148" s="406"/>
      <c r="T148" s="406"/>
    </row>
    <row r="149" spans="1:40" ht="25.5" x14ac:dyDescent="0.2">
      <c r="A149" s="446" t="s">
        <v>255</v>
      </c>
      <c r="B149" s="445" t="s">
        <v>110</v>
      </c>
      <c r="C149" s="736"/>
      <c r="D149" s="736"/>
      <c r="E149" s="736"/>
      <c r="F149" s="736"/>
      <c r="G149" s="736"/>
      <c r="H149" s="736"/>
      <c r="I149" s="794"/>
      <c r="J149" s="794"/>
      <c r="K149" s="794"/>
      <c r="L149" s="795"/>
      <c r="M149" s="794"/>
      <c r="N149" s="796"/>
      <c r="O149" s="449"/>
      <c r="P149" s="406"/>
      <c r="Q149" s="406"/>
      <c r="R149" s="406"/>
      <c r="S149" s="406"/>
      <c r="T149" s="406"/>
    </row>
    <row r="150" spans="1:40" s="447" customFormat="1" ht="15" customHeight="1" thickBot="1" x14ac:dyDescent="0.25">
      <c r="A150" s="403"/>
      <c r="B150" s="401" t="s">
        <v>349</v>
      </c>
      <c r="C150" s="721">
        <f>SUM('6. sz.melléklet'!C51)</f>
        <v>9126000</v>
      </c>
      <c r="D150" s="721">
        <f>SUM('6. sz.melléklet'!D51)</f>
        <v>1683000</v>
      </c>
      <c r="E150" s="721">
        <f>SUM('6. sz.melléklet'!E51)</f>
        <v>1998000</v>
      </c>
      <c r="F150" s="721"/>
      <c r="G150" s="721"/>
      <c r="H150" s="721">
        <f>SUM('6. sz.melléklet'!H51)</f>
        <v>300000</v>
      </c>
      <c r="I150" s="789"/>
      <c r="J150" s="789"/>
      <c r="K150" s="789"/>
      <c r="L150" s="791"/>
      <c r="M150" s="789"/>
      <c r="N150" s="782">
        <f>SUM(C150:M150)</f>
        <v>13107000</v>
      </c>
      <c r="O150" s="449"/>
      <c r="P150" s="406"/>
      <c r="Q150" s="406"/>
      <c r="R150" s="406"/>
      <c r="S150" s="406"/>
      <c r="T150" s="406"/>
      <c r="U150" s="406"/>
      <c r="V150" s="406"/>
      <c r="W150" s="406"/>
      <c r="X150" s="406"/>
      <c r="Y150" s="406"/>
      <c r="Z150" s="406"/>
      <c r="AA150" s="406"/>
      <c r="AB150" s="406"/>
      <c r="AC150" s="406"/>
      <c r="AD150" s="406"/>
      <c r="AE150" s="406"/>
      <c r="AF150" s="406"/>
      <c r="AG150" s="406"/>
      <c r="AH150" s="406"/>
      <c r="AI150" s="406"/>
      <c r="AJ150" s="406"/>
      <c r="AK150" s="406"/>
      <c r="AL150" s="406"/>
      <c r="AM150" s="406"/>
      <c r="AN150" s="406"/>
    </row>
    <row r="151" spans="1:40" ht="15" customHeight="1" thickBot="1" x14ac:dyDescent="0.25">
      <c r="A151" s="1462"/>
      <c r="B151" s="1450" t="s">
        <v>350</v>
      </c>
      <c r="C151" s="1460">
        <f>SUM('6. sz.melléklet'!C52)</f>
        <v>9126000</v>
      </c>
      <c r="D151" s="1460">
        <f>SUM('6. sz.melléklet'!D52)</f>
        <v>1683000</v>
      </c>
      <c r="E151" s="1460">
        <f>SUM('6. sz.melléklet'!E52)</f>
        <v>1998000</v>
      </c>
      <c r="F151" s="1460"/>
      <c r="G151" s="1460"/>
      <c r="H151" s="1460">
        <f>SUM('6. sz.melléklet'!H52)</f>
        <v>300000</v>
      </c>
      <c r="I151" s="1474"/>
      <c r="J151" s="1474"/>
      <c r="K151" s="1474"/>
      <c r="L151" s="1475"/>
      <c r="M151" s="1474"/>
      <c r="N151" s="1471">
        <f>SUM(C151:M151)</f>
        <v>13107000</v>
      </c>
      <c r="O151" s="449"/>
      <c r="P151" s="406"/>
      <c r="Q151" s="406"/>
      <c r="R151" s="406"/>
      <c r="S151" s="406"/>
      <c r="T151" s="406"/>
    </row>
    <row r="152" spans="1:40" ht="25.5" x14ac:dyDescent="0.2">
      <c r="A152" s="446" t="s">
        <v>256</v>
      </c>
      <c r="B152" s="445" t="s">
        <v>109</v>
      </c>
      <c r="C152" s="736"/>
      <c r="D152" s="736"/>
      <c r="E152" s="736"/>
      <c r="F152" s="736"/>
      <c r="G152" s="736"/>
      <c r="H152" s="736"/>
      <c r="I152" s="794"/>
      <c r="J152" s="794"/>
      <c r="K152" s="794"/>
      <c r="L152" s="795"/>
      <c r="M152" s="794"/>
      <c r="N152" s="796"/>
      <c r="O152" s="449"/>
      <c r="P152" s="406"/>
      <c r="Q152" s="406"/>
      <c r="R152" s="406"/>
      <c r="S152" s="406"/>
      <c r="T152" s="406"/>
    </row>
    <row r="153" spans="1:40" s="447" customFormat="1" ht="15" customHeight="1" thickBot="1" x14ac:dyDescent="0.25">
      <c r="A153" s="403"/>
      <c r="B153" s="401" t="s">
        <v>349</v>
      </c>
      <c r="C153" s="721">
        <f>SUM('6. sz.melléklet'!C54)</f>
        <v>447000</v>
      </c>
      <c r="D153" s="721">
        <f>SUM('6. sz.melléklet'!D54)</f>
        <v>78000</v>
      </c>
      <c r="E153" s="721"/>
      <c r="F153" s="721"/>
      <c r="G153" s="721"/>
      <c r="H153" s="721"/>
      <c r="I153" s="789"/>
      <c r="J153" s="789"/>
      <c r="K153" s="789"/>
      <c r="L153" s="791"/>
      <c r="M153" s="789"/>
      <c r="N153" s="782">
        <f>SUM(C153:M153)</f>
        <v>525000</v>
      </c>
      <c r="O153" s="449"/>
      <c r="P153" s="406"/>
      <c r="Q153" s="406"/>
      <c r="R153" s="406"/>
      <c r="S153" s="406"/>
      <c r="T153" s="406"/>
      <c r="U153" s="406"/>
      <c r="V153" s="406"/>
      <c r="W153" s="406"/>
      <c r="X153" s="406"/>
      <c r="Y153" s="406"/>
      <c r="Z153" s="406"/>
      <c r="AA153" s="406"/>
      <c r="AB153" s="406"/>
      <c r="AC153" s="406"/>
      <c r="AD153" s="406"/>
      <c r="AE153" s="406"/>
      <c r="AF153" s="406"/>
      <c r="AG153" s="406"/>
      <c r="AH153" s="406"/>
      <c r="AI153" s="406"/>
      <c r="AJ153" s="406"/>
      <c r="AK153" s="406"/>
      <c r="AL153" s="406"/>
      <c r="AM153" s="406"/>
      <c r="AN153" s="406"/>
    </row>
    <row r="154" spans="1:40" ht="15" customHeight="1" thickBot="1" x14ac:dyDescent="0.25">
      <c r="A154" s="1462"/>
      <c r="B154" s="1450" t="s">
        <v>350</v>
      </c>
      <c r="C154" s="1460">
        <f>SUM('6. sz.melléklet'!C55)</f>
        <v>447000</v>
      </c>
      <c r="D154" s="1460">
        <f>SUM('6. sz.melléklet'!D55)</f>
        <v>78000</v>
      </c>
      <c r="E154" s="1460"/>
      <c r="F154" s="1460"/>
      <c r="G154" s="1460"/>
      <c r="H154" s="1460"/>
      <c r="I154" s="1474"/>
      <c r="J154" s="1474"/>
      <c r="K154" s="1474"/>
      <c r="L154" s="1475"/>
      <c r="M154" s="1474"/>
      <c r="N154" s="1471">
        <f>SUM(C154:M154)</f>
        <v>525000</v>
      </c>
      <c r="O154" s="449"/>
      <c r="P154" s="406"/>
      <c r="Q154" s="406"/>
      <c r="R154" s="406"/>
      <c r="S154" s="406"/>
      <c r="T154" s="406"/>
    </row>
    <row r="155" spans="1:40" ht="32.25" customHeight="1" x14ac:dyDescent="0.2">
      <c r="A155" s="446" t="s">
        <v>257</v>
      </c>
      <c r="B155" s="445" t="s">
        <v>258</v>
      </c>
      <c r="C155" s="736"/>
      <c r="D155" s="736"/>
      <c r="E155" s="736"/>
      <c r="F155" s="736"/>
      <c r="G155" s="736"/>
      <c r="H155" s="736"/>
      <c r="I155" s="794"/>
      <c r="J155" s="794"/>
      <c r="K155" s="794"/>
      <c r="L155" s="795"/>
      <c r="M155" s="794"/>
      <c r="N155" s="796"/>
      <c r="O155" s="449"/>
      <c r="P155" s="406"/>
      <c r="Q155" s="406"/>
      <c r="R155" s="406"/>
      <c r="S155" s="406"/>
      <c r="T155" s="406"/>
    </row>
    <row r="156" spans="1:40" s="447" customFormat="1" ht="15" customHeight="1" thickBot="1" x14ac:dyDescent="0.25">
      <c r="A156" s="403"/>
      <c r="B156" s="401" t="s">
        <v>349</v>
      </c>
      <c r="C156" s="721">
        <f>SUM('6. sz.melléklet'!C57)</f>
        <v>480000</v>
      </c>
      <c r="D156" s="721">
        <f>SUM('6. sz.melléklet'!D57)</f>
        <v>95000</v>
      </c>
      <c r="E156" s="721">
        <f>SUM('6. sz.melléklet'!E57)</f>
        <v>942000</v>
      </c>
      <c r="F156" s="721"/>
      <c r="G156" s="721"/>
      <c r="H156" s="721"/>
      <c r="I156" s="789">
        <f>SUM('6. sz.melléklet'!I57)</f>
        <v>840000</v>
      </c>
      <c r="J156" s="789"/>
      <c r="K156" s="789"/>
      <c r="L156" s="791"/>
      <c r="M156" s="789"/>
      <c r="N156" s="782">
        <f>SUM(C156:M156)</f>
        <v>2357000</v>
      </c>
      <c r="O156" s="449"/>
      <c r="P156" s="406"/>
      <c r="Q156" s="406"/>
      <c r="R156" s="406"/>
      <c r="S156" s="406"/>
      <c r="T156" s="406"/>
      <c r="U156" s="406"/>
      <c r="V156" s="406"/>
      <c r="W156" s="406"/>
      <c r="X156" s="406"/>
      <c r="Y156" s="406"/>
      <c r="Z156" s="406"/>
      <c r="AA156" s="406"/>
      <c r="AB156" s="406"/>
      <c r="AC156" s="406"/>
      <c r="AD156" s="406"/>
      <c r="AE156" s="406"/>
      <c r="AF156" s="406"/>
      <c r="AG156" s="406"/>
      <c r="AH156" s="406"/>
      <c r="AI156" s="406"/>
      <c r="AJ156" s="406"/>
      <c r="AK156" s="406"/>
      <c r="AL156" s="406"/>
      <c r="AM156" s="406"/>
      <c r="AN156" s="406"/>
    </row>
    <row r="157" spans="1:40" ht="15.75" customHeight="1" thickBot="1" x14ac:dyDescent="0.25">
      <c r="A157" s="1462"/>
      <c r="B157" s="1450" t="s">
        <v>350</v>
      </c>
      <c r="C157" s="1460">
        <f>SUM('6. sz.melléklet'!C58)</f>
        <v>480000</v>
      </c>
      <c r="D157" s="1460">
        <f>SUM('6. sz.melléklet'!D58)</f>
        <v>95000</v>
      </c>
      <c r="E157" s="1460">
        <f>SUM('6. sz.melléklet'!E58)</f>
        <v>942000</v>
      </c>
      <c r="F157" s="1460"/>
      <c r="G157" s="1460"/>
      <c r="H157" s="1460"/>
      <c r="I157" s="1474">
        <f>SUM('6. sz.melléklet'!I58)</f>
        <v>840000</v>
      </c>
      <c r="J157" s="1474"/>
      <c r="K157" s="1474"/>
      <c r="L157" s="1475"/>
      <c r="M157" s="1474"/>
      <c r="N157" s="1471">
        <f>SUM(C157:M157)</f>
        <v>2357000</v>
      </c>
      <c r="O157" s="449"/>
      <c r="P157" s="406"/>
      <c r="Q157" s="406"/>
      <c r="R157" s="406"/>
      <c r="S157" s="406"/>
      <c r="T157" s="406"/>
    </row>
    <row r="158" spans="1:40" ht="23.25" customHeight="1" x14ac:dyDescent="0.2">
      <c r="A158" s="494" t="s">
        <v>649</v>
      </c>
      <c r="B158" s="1982" t="s">
        <v>650</v>
      </c>
      <c r="C158" s="759"/>
      <c r="D158" s="759"/>
      <c r="E158" s="759"/>
      <c r="F158" s="759"/>
      <c r="G158" s="759"/>
      <c r="H158" s="759"/>
      <c r="I158" s="1983"/>
      <c r="J158" s="1983"/>
      <c r="K158" s="1983"/>
      <c r="L158" s="1984"/>
      <c r="M158" s="1983"/>
      <c r="N158" s="1985"/>
      <c r="O158" s="449"/>
      <c r="P158" s="406"/>
      <c r="Q158" s="406"/>
      <c r="R158" s="406"/>
      <c r="S158" s="406"/>
      <c r="T158" s="406"/>
    </row>
    <row r="159" spans="1:40" ht="15.75" customHeight="1" x14ac:dyDescent="0.2">
      <c r="A159" s="403"/>
      <c r="B159" s="401" t="s">
        <v>349</v>
      </c>
      <c r="C159" s="721"/>
      <c r="D159" s="721"/>
      <c r="E159" s="721"/>
      <c r="F159" s="721"/>
      <c r="G159" s="721"/>
      <c r="H159" s="721"/>
      <c r="I159" s="789"/>
      <c r="J159" s="789"/>
      <c r="K159" s="789"/>
      <c r="L159" s="791"/>
      <c r="M159" s="789"/>
      <c r="N159" s="782"/>
      <c r="O159" s="449"/>
      <c r="P159" s="406"/>
      <c r="Q159" s="406"/>
      <c r="R159" s="406"/>
      <c r="S159" s="406"/>
      <c r="T159" s="406"/>
    </row>
    <row r="160" spans="1:40" ht="15.75" customHeight="1" thickBot="1" x14ac:dyDescent="0.25">
      <c r="A160" s="1462"/>
      <c r="B160" s="1450" t="s">
        <v>350</v>
      </c>
      <c r="C160" s="1460"/>
      <c r="D160" s="1460"/>
      <c r="E160" s="1460">
        <f>'6. sz.melléklet'!E61</f>
        <v>2500000</v>
      </c>
      <c r="F160" s="1460"/>
      <c r="G160" s="1460"/>
      <c r="H160" s="1460"/>
      <c r="I160" s="1474"/>
      <c r="J160" s="1474"/>
      <c r="K160" s="1474"/>
      <c r="L160" s="1475"/>
      <c r="M160" s="1474"/>
      <c r="N160" s="1471">
        <f>SUM(E160:M160)</f>
        <v>2500000</v>
      </c>
      <c r="O160" s="449"/>
      <c r="P160" s="406"/>
      <c r="Q160" s="406"/>
      <c r="R160" s="406"/>
      <c r="S160" s="406"/>
      <c r="T160" s="406"/>
    </row>
    <row r="161" spans="1:40" ht="24" customHeight="1" x14ac:dyDescent="0.2">
      <c r="A161" s="446" t="s">
        <v>439</v>
      </c>
      <c r="B161" s="445" t="s">
        <v>286</v>
      </c>
      <c r="C161" s="736"/>
      <c r="D161" s="736"/>
      <c r="E161" s="736"/>
      <c r="F161" s="736"/>
      <c r="G161" s="736"/>
      <c r="H161" s="736"/>
      <c r="I161" s="794"/>
      <c r="J161" s="794"/>
      <c r="K161" s="794"/>
      <c r="L161" s="795"/>
      <c r="M161" s="794"/>
      <c r="N161" s="796"/>
      <c r="O161" s="449"/>
      <c r="P161" s="406"/>
      <c r="Q161" s="406"/>
      <c r="R161" s="406"/>
      <c r="S161" s="406"/>
      <c r="T161" s="406"/>
    </row>
    <row r="162" spans="1:40" s="447" customFormat="1" ht="15" customHeight="1" thickBot="1" x14ac:dyDescent="0.25">
      <c r="A162" s="403"/>
      <c r="B162" s="401" t="s">
        <v>349</v>
      </c>
      <c r="C162" s="721"/>
      <c r="D162" s="721"/>
      <c r="E162" s="721"/>
      <c r="F162" s="721"/>
      <c r="G162" s="721"/>
      <c r="H162" s="721"/>
      <c r="I162" s="789">
        <f>SUM('6. sz.melléklet'!I63)</f>
        <v>1620000</v>
      </c>
      <c r="J162" s="789"/>
      <c r="K162" s="789"/>
      <c r="L162" s="791"/>
      <c r="M162" s="789"/>
      <c r="N162" s="782">
        <f>SUM(C162:M162)</f>
        <v>1620000</v>
      </c>
      <c r="O162" s="449"/>
      <c r="P162" s="406"/>
      <c r="Q162" s="406"/>
      <c r="R162" s="406"/>
      <c r="S162" s="406"/>
      <c r="T162" s="406"/>
      <c r="U162" s="406"/>
      <c r="V162" s="406"/>
      <c r="W162" s="406"/>
      <c r="X162" s="406"/>
      <c r="Y162" s="406"/>
      <c r="Z162" s="406"/>
      <c r="AA162" s="406"/>
      <c r="AB162" s="406"/>
      <c r="AC162" s="406"/>
      <c r="AD162" s="406"/>
      <c r="AE162" s="406"/>
      <c r="AF162" s="406"/>
      <c r="AG162" s="406"/>
      <c r="AH162" s="406"/>
      <c r="AI162" s="406"/>
      <c r="AJ162" s="406"/>
      <c r="AK162" s="406"/>
      <c r="AL162" s="406"/>
      <c r="AM162" s="406"/>
      <c r="AN162" s="406"/>
    </row>
    <row r="163" spans="1:40" ht="15" customHeight="1" thickBot="1" x14ac:dyDescent="0.25">
      <c r="A163" s="1462"/>
      <c r="B163" s="1450" t="s">
        <v>350</v>
      </c>
      <c r="C163" s="1460"/>
      <c r="D163" s="1460"/>
      <c r="E163" s="1460"/>
      <c r="F163" s="1460"/>
      <c r="G163" s="1460"/>
      <c r="H163" s="1460"/>
      <c r="I163" s="1474">
        <f>SUM('6. sz.melléklet'!I64)</f>
        <v>1620000</v>
      </c>
      <c r="J163" s="1474"/>
      <c r="K163" s="1474"/>
      <c r="L163" s="1475"/>
      <c r="M163" s="1474"/>
      <c r="N163" s="1471">
        <f>SUM(C163:M163)</f>
        <v>1620000</v>
      </c>
      <c r="O163" s="449"/>
      <c r="P163" s="406"/>
      <c r="Q163" s="406"/>
      <c r="R163" s="406"/>
      <c r="S163" s="406"/>
      <c r="T163" s="406"/>
    </row>
    <row r="164" spans="1:40" ht="38.25" x14ac:dyDescent="0.2">
      <c r="A164" s="966" t="s">
        <v>458</v>
      </c>
      <c r="B164" s="967" t="s">
        <v>459</v>
      </c>
      <c r="C164" s="990"/>
      <c r="D164" s="990"/>
      <c r="E164" s="990"/>
      <c r="F164" s="990"/>
      <c r="G164" s="990"/>
      <c r="H164" s="736"/>
      <c r="I164" s="794"/>
      <c r="J164" s="794"/>
      <c r="K164" s="794"/>
      <c r="L164" s="794"/>
      <c r="M164" s="794"/>
      <c r="N164" s="796"/>
      <c r="O164" s="449"/>
      <c r="P164" s="406"/>
      <c r="Q164" s="406"/>
      <c r="R164" s="406"/>
      <c r="S164" s="406"/>
      <c r="T164" s="406"/>
    </row>
    <row r="165" spans="1:40" ht="15" customHeight="1" x14ac:dyDescent="0.2">
      <c r="A165" s="1172"/>
      <c r="B165" s="1207" t="s">
        <v>349</v>
      </c>
      <c r="C165" s="1173"/>
      <c r="D165" s="1173"/>
      <c r="E165" s="1161">
        <f>SUM('15.sz.melléklet'!E10)</f>
        <v>454000</v>
      </c>
      <c r="F165" s="1173"/>
      <c r="G165" s="1173"/>
      <c r="H165" s="721">
        <f>SUM('15.sz.melléklet'!F10)</f>
        <v>1680000</v>
      </c>
      <c r="I165" s="789"/>
      <c r="J165" s="789"/>
      <c r="K165" s="789"/>
      <c r="L165" s="789"/>
      <c r="M165" s="789"/>
      <c r="N165" s="782">
        <f>SUM(C165:M165)</f>
        <v>2134000</v>
      </c>
      <c r="O165" s="449"/>
      <c r="P165" s="406"/>
      <c r="Q165" s="406"/>
      <c r="R165" s="406"/>
      <c r="S165" s="406"/>
      <c r="T165" s="406"/>
    </row>
    <row r="166" spans="1:40" ht="15" customHeight="1" thickBot="1" x14ac:dyDescent="0.25">
      <c r="A166" s="972"/>
      <c r="B166" s="402" t="s">
        <v>350</v>
      </c>
      <c r="C166" s="1477"/>
      <c r="D166" s="1477"/>
      <c r="E166" s="1895">
        <f>SUM('15.sz.melléklet'!E11)</f>
        <v>454000</v>
      </c>
      <c r="F166" s="1477"/>
      <c r="G166" s="1477"/>
      <c r="H166" s="723">
        <f>SUM('15.sz.melléklet'!F11)</f>
        <v>2624000</v>
      </c>
      <c r="I166" s="790"/>
      <c r="J166" s="790"/>
      <c r="K166" s="790"/>
      <c r="L166" s="790"/>
      <c r="M166" s="790"/>
      <c r="N166" s="779">
        <f>SUM(C166:M166)</f>
        <v>3078000</v>
      </c>
      <c r="O166" s="449"/>
      <c r="P166" s="406"/>
      <c r="Q166" s="406"/>
      <c r="R166" s="406"/>
      <c r="S166" s="406"/>
      <c r="T166" s="406"/>
    </row>
    <row r="167" spans="1:40" ht="15" customHeight="1" x14ac:dyDescent="0.2">
      <c r="A167" s="446" t="s">
        <v>233</v>
      </c>
      <c r="B167" s="445" t="s">
        <v>3</v>
      </c>
      <c r="C167" s="736"/>
      <c r="D167" s="736"/>
      <c r="E167" s="736"/>
      <c r="F167" s="736"/>
      <c r="G167" s="736"/>
      <c r="H167" s="736"/>
      <c r="I167" s="794"/>
      <c r="J167" s="794"/>
      <c r="K167" s="794"/>
      <c r="L167" s="795"/>
      <c r="M167" s="794"/>
      <c r="N167" s="796"/>
      <c r="O167" s="449"/>
      <c r="P167" s="406"/>
      <c r="Q167" s="406"/>
      <c r="R167" s="406"/>
      <c r="S167" s="406"/>
      <c r="T167" s="406"/>
    </row>
    <row r="168" spans="1:40" s="447" customFormat="1" ht="15" customHeight="1" thickBot="1" x14ac:dyDescent="0.25">
      <c r="A168" s="403"/>
      <c r="B168" s="401" t="s">
        <v>349</v>
      </c>
      <c r="C168" s="721">
        <f>SUM('15.sz.melléklet'!C13)</f>
        <v>9557000</v>
      </c>
      <c r="D168" s="721">
        <f>SUM('15.sz.melléklet'!D13)</f>
        <v>1730000</v>
      </c>
      <c r="E168" s="721">
        <f>SUM('15.sz.melléklet'!E13)</f>
        <v>870000</v>
      </c>
      <c r="F168" s="721"/>
      <c r="G168" s="721"/>
      <c r="H168" s="721">
        <f>SUM('15.sz.melléklet'!F13)</f>
        <v>310000</v>
      </c>
      <c r="I168" s="789"/>
      <c r="J168" s="789"/>
      <c r="K168" s="789"/>
      <c r="L168" s="791"/>
      <c r="M168" s="789"/>
      <c r="N168" s="782">
        <f>SUM(C168:M168)</f>
        <v>12467000</v>
      </c>
      <c r="O168" s="449"/>
      <c r="P168" s="406"/>
      <c r="Q168" s="406"/>
      <c r="R168" s="406"/>
      <c r="S168" s="406"/>
      <c r="T168" s="406"/>
      <c r="U168" s="406"/>
      <c r="V168" s="406"/>
      <c r="W168" s="406"/>
      <c r="X168" s="406"/>
      <c r="Y168" s="406"/>
      <c r="Z168" s="406"/>
      <c r="AA168" s="406"/>
      <c r="AB168" s="406"/>
      <c r="AC168" s="406"/>
      <c r="AD168" s="406"/>
      <c r="AE168" s="406"/>
      <c r="AF168" s="406"/>
      <c r="AG168" s="406"/>
      <c r="AH168" s="406"/>
      <c r="AI168" s="406"/>
      <c r="AJ168" s="406"/>
      <c r="AK168" s="406"/>
      <c r="AL168" s="406"/>
      <c r="AM168" s="406"/>
      <c r="AN168" s="406"/>
    </row>
    <row r="169" spans="1:40" ht="15" customHeight="1" thickBot="1" x14ac:dyDescent="0.25">
      <c r="A169" s="1462"/>
      <c r="B169" s="1450" t="s">
        <v>350</v>
      </c>
      <c r="C169" s="1460">
        <f>SUM('15.sz.melléklet'!C14)</f>
        <v>10047800</v>
      </c>
      <c r="D169" s="1460">
        <f>SUM('15.sz.melléklet'!D14)</f>
        <v>1816000</v>
      </c>
      <c r="E169" s="1460">
        <f>SUM('15.sz.melléklet'!E14)</f>
        <v>870000</v>
      </c>
      <c r="F169" s="1460"/>
      <c r="G169" s="1460"/>
      <c r="H169" s="1460">
        <f>SUM('15.sz.melléklet'!F14)</f>
        <v>310000</v>
      </c>
      <c r="I169" s="1474"/>
      <c r="J169" s="1474"/>
      <c r="K169" s="1474"/>
      <c r="L169" s="1475"/>
      <c r="M169" s="1474"/>
      <c r="N169" s="1471">
        <f>SUM(C169:M169)</f>
        <v>13043800</v>
      </c>
      <c r="O169" s="449"/>
      <c r="P169" s="406"/>
      <c r="Q169" s="406"/>
      <c r="R169" s="406"/>
      <c r="S169" s="406"/>
      <c r="T169" s="406"/>
    </row>
    <row r="170" spans="1:40" ht="15" customHeight="1" x14ac:dyDescent="0.2">
      <c r="A170" s="446" t="s">
        <v>234</v>
      </c>
      <c r="B170" s="445" t="s">
        <v>96</v>
      </c>
      <c r="C170" s="736"/>
      <c r="D170" s="736"/>
      <c r="E170" s="736"/>
      <c r="F170" s="736"/>
      <c r="G170" s="736"/>
      <c r="H170" s="736"/>
      <c r="I170" s="794"/>
      <c r="J170" s="794"/>
      <c r="K170" s="794"/>
      <c r="L170" s="795"/>
      <c r="M170" s="794"/>
      <c r="N170" s="796"/>
      <c r="O170" s="449"/>
      <c r="P170" s="406"/>
      <c r="Q170" s="406"/>
      <c r="R170" s="406"/>
      <c r="S170" s="406"/>
      <c r="T170" s="406"/>
    </row>
    <row r="171" spans="1:40" s="447" customFormat="1" ht="15" customHeight="1" thickBot="1" x14ac:dyDescent="0.25">
      <c r="A171" s="403"/>
      <c r="B171" s="401" t="s">
        <v>349</v>
      </c>
      <c r="C171" s="721">
        <f>SUM('15.sz.melléklet'!C7)</f>
        <v>20539000</v>
      </c>
      <c r="D171" s="721">
        <f>SUM('15.sz.melléklet'!D7)</f>
        <v>4029000</v>
      </c>
      <c r="E171" s="721">
        <f>SUM('15.sz.melléklet'!E7)</f>
        <v>28130000</v>
      </c>
      <c r="F171" s="721"/>
      <c r="G171" s="721"/>
      <c r="H171" s="721">
        <f>SUM('15.sz.melléklet'!F7)</f>
        <v>2600000</v>
      </c>
      <c r="I171" s="789"/>
      <c r="J171" s="789"/>
      <c r="K171" s="789"/>
      <c r="L171" s="791"/>
      <c r="M171" s="789"/>
      <c r="N171" s="782">
        <f>SUM(C171:M171)</f>
        <v>55298000</v>
      </c>
      <c r="O171" s="449"/>
      <c r="P171" s="406"/>
      <c r="Q171" s="406"/>
      <c r="R171" s="406"/>
      <c r="S171" s="406"/>
      <c r="T171" s="406"/>
      <c r="U171" s="406"/>
      <c r="V171" s="406"/>
      <c r="W171" s="406"/>
      <c r="X171" s="406"/>
      <c r="Y171" s="406"/>
      <c r="Z171" s="406"/>
      <c r="AA171" s="406"/>
      <c r="AB171" s="406"/>
      <c r="AC171" s="406"/>
      <c r="AD171" s="406"/>
      <c r="AE171" s="406"/>
      <c r="AF171" s="406"/>
      <c r="AG171" s="406"/>
      <c r="AH171" s="406"/>
      <c r="AI171" s="406"/>
      <c r="AJ171" s="406"/>
      <c r="AK171" s="406"/>
      <c r="AL171" s="406"/>
      <c r="AM171" s="406"/>
      <c r="AN171" s="406"/>
    </row>
    <row r="172" spans="1:40" ht="15" customHeight="1" thickBot="1" x14ac:dyDescent="0.25">
      <c r="A172" s="1462"/>
      <c r="B172" s="1450" t="s">
        <v>350</v>
      </c>
      <c r="C172" s="1460">
        <f>SUM('15.sz.melléklet'!C8)</f>
        <v>22093000</v>
      </c>
      <c r="D172" s="1460">
        <f>SUM('15.sz.melléklet'!D8)</f>
        <v>4301000</v>
      </c>
      <c r="E172" s="1460">
        <f>SUM('15.sz.melléklet'!E8)</f>
        <v>28130000</v>
      </c>
      <c r="F172" s="1460"/>
      <c r="G172" s="1460"/>
      <c r="H172" s="1460">
        <f>SUM('15.sz.melléklet'!F8)</f>
        <v>2600000</v>
      </c>
      <c r="I172" s="1474"/>
      <c r="J172" s="1474"/>
      <c r="K172" s="1474"/>
      <c r="L172" s="1475"/>
      <c r="M172" s="1474"/>
      <c r="N172" s="1471">
        <f>SUM(C172:M172)</f>
        <v>57124000</v>
      </c>
      <c r="O172" s="449"/>
      <c r="P172" s="406"/>
      <c r="Q172" s="406"/>
      <c r="R172" s="406"/>
      <c r="S172" s="406"/>
      <c r="T172" s="406"/>
    </row>
    <row r="173" spans="1:40" ht="25.5" x14ac:dyDescent="0.2">
      <c r="A173" s="446" t="s">
        <v>259</v>
      </c>
      <c r="B173" s="445" t="s">
        <v>260</v>
      </c>
      <c r="C173" s="736"/>
      <c r="D173" s="736"/>
      <c r="E173" s="736"/>
      <c r="F173" s="736"/>
      <c r="G173" s="736"/>
      <c r="H173" s="736"/>
      <c r="I173" s="794"/>
      <c r="J173" s="794"/>
      <c r="K173" s="794"/>
      <c r="L173" s="795"/>
      <c r="M173" s="794"/>
      <c r="N173" s="796"/>
      <c r="O173" s="449"/>
      <c r="P173" s="406"/>
      <c r="Q173" s="406"/>
      <c r="R173" s="406"/>
      <c r="S173" s="406"/>
      <c r="T173" s="406"/>
    </row>
    <row r="174" spans="1:40" s="447" customFormat="1" ht="15" customHeight="1" thickBot="1" x14ac:dyDescent="0.25">
      <c r="A174" s="403"/>
      <c r="B174" s="401" t="s">
        <v>349</v>
      </c>
      <c r="C174" s="721"/>
      <c r="D174" s="721"/>
      <c r="E174" s="721">
        <f>SUM('6. sz.melléklet'!E66)</f>
        <v>4900000</v>
      </c>
      <c r="F174" s="721"/>
      <c r="G174" s="721"/>
      <c r="H174" s="721"/>
      <c r="I174" s="789"/>
      <c r="J174" s="789"/>
      <c r="K174" s="789"/>
      <c r="L174" s="791"/>
      <c r="M174" s="789"/>
      <c r="N174" s="782">
        <f>SUM(C174:M174)</f>
        <v>4900000</v>
      </c>
      <c r="O174" s="449"/>
      <c r="P174" s="406"/>
      <c r="Q174" s="406"/>
      <c r="R174" s="406"/>
      <c r="S174" s="406"/>
      <c r="T174" s="406"/>
      <c r="U174" s="406"/>
      <c r="V174" s="406"/>
      <c r="W174" s="406"/>
      <c r="X174" s="406"/>
      <c r="Y174" s="406"/>
      <c r="Z174" s="406"/>
      <c r="AA174" s="406"/>
      <c r="AB174" s="406"/>
      <c r="AC174" s="406"/>
      <c r="AD174" s="406"/>
      <c r="AE174" s="406"/>
      <c r="AF174" s="406"/>
      <c r="AG174" s="406"/>
      <c r="AH174" s="406"/>
      <c r="AI174" s="406"/>
      <c r="AJ174" s="406"/>
      <c r="AK174" s="406"/>
      <c r="AL174" s="406"/>
      <c r="AM174" s="406"/>
      <c r="AN174" s="406"/>
    </row>
    <row r="175" spans="1:40" ht="15" customHeight="1" thickBot="1" x14ac:dyDescent="0.25">
      <c r="A175" s="1462"/>
      <c r="B175" s="1450" t="s">
        <v>350</v>
      </c>
      <c r="C175" s="1460"/>
      <c r="D175" s="1460"/>
      <c r="E175" s="1460">
        <f>SUM('6. sz.melléklet'!E67)</f>
        <v>4900000</v>
      </c>
      <c r="F175" s="1460"/>
      <c r="G175" s="1460"/>
      <c r="H175" s="1460"/>
      <c r="I175" s="1474"/>
      <c r="J175" s="1474"/>
      <c r="K175" s="1474"/>
      <c r="L175" s="1475"/>
      <c r="M175" s="1474"/>
      <c r="N175" s="1471">
        <f>SUM(C175:M175)</f>
        <v>4900000</v>
      </c>
      <c r="O175" s="449"/>
      <c r="P175" s="406"/>
      <c r="Q175" s="406"/>
      <c r="R175" s="406"/>
      <c r="S175" s="406"/>
      <c r="T175" s="406"/>
    </row>
    <row r="176" spans="1:40" ht="25.5" x14ac:dyDescent="0.2">
      <c r="A176" s="446" t="s">
        <v>273</v>
      </c>
      <c r="B176" s="445" t="s">
        <v>133</v>
      </c>
      <c r="C176" s="736"/>
      <c r="D176" s="736"/>
      <c r="E176" s="736"/>
      <c r="F176" s="736"/>
      <c r="G176" s="736"/>
      <c r="H176" s="736"/>
      <c r="I176" s="794"/>
      <c r="J176" s="794"/>
      <c r="K176" s="794"/>
      <c r="L176" s="795"/>
      <c r="M176" s="794"/>
      <c r="N176" s="796"/>
      <c r="O176" s="449"/>
      <c r="P176" s="406"/>
      <c r="Q176" s="406"/>
      <c r="R176" s="406"/>
      <c r="S176" s="406"/>
      <c r="T176" s="406"/>
    </row>
    <row r="177" spans="1:40" s="447" customFormat="1" ht="15" customHeight="1" thickBot="1" x14ac:dyDescent="0.25">
      <c r="A177" s="403"/>
      <c r="B177" s="401" t="s">
        <v>349</v>
      </c>
      <c r="C177" s="721"/>
      <c r="D177" s="721"/>
      <c r="E177" s="721"/>
      <c r="F177" s="721"/>
      <c r="G177" s="721"/>
      <c r="H177" s="721"/>
      <c r="I177" s="789">
        <f>SUM('6. sz.melléklet'!I69)</f>
        <v>66632000</v>
      </c>
      <c r="J177" s="789"/>
      <c r="K177" s="789"/>
      <c r="L177" s="791"/>
      <c r="M177" s="789"/>
      <c r="N177" s="782">
        <f>SUM(C177:M177)</f>
        <v>66632000</v>
      </c>
      <c r="O177" s="449"/>
      <c r="P177" s="406"/>
      <c r="Q177" s="406"/>
      <c r="R177" s="406"/>
      <c r="S177" s="406"/>
      <c r="T177" s="406"/>
      <c r="U177" s="406"/>
      <c r="V177" s="406"/>
      <c r="W177" s="406"/>
      <c r="X177" s="406"/>
      <c r="Y177" s="406"/>
      <c r="Z177" s="406"/>
      <c r="AA177" s="406"/>
      <c r="AB177" s="406"/>
      <c r="AC177" s="406"/>
      <c r="AD177" s="406"/>
      <c r="AE177" s="406"/>
      <c r="AF177" s="406"/>
      <c r="AG177" s="406"/>
      <c r="AH177" s="406"/>
      <c r="AI177" s="406"/>
      <c r="AJ177" s="406"/>
      <c r="AK177" s="406"/>
      <c r="AL177" s="406"/>
      <c r="AM177" s="406"/>
      <c r="AN177" s="406"/>
    </row>
    <row r="178" spans="1:40" ht="15" customHeight="1" thickBot="1" x14ac:dyDescent="0.25">
      <c r="A178" s="404"/>
      <c r="B178" s="402" t="s">
        <v>350</v>
      </c>
      <c r="C178" s="723"/>
      <c r="D178" s="723"/>
      <c r="E178" s="723"/>
      <c r="F178" s="723"/>
      <c r="G178" s="723"/>
      <c r="H178" s="723"/>
      <c r="I178" s="790">
        <f>SUM('6. sz.melléklet'!I70)</f>
        <v>66632000</v>
      </c>
      <c r="J178" s="790"/>
      <c r="K178" s="790"/>
      <c r="L178" s="792"/>
      <c r="M178" s="790"/>
      <c r="N178" s="779">
        <f>SUM(C178:M178)</f>
        <v>66632000</v>
      </c>
      <c r="O178" s="449"/>
      <c r="P178" s="406"/>
      <c r="Q178" s="406"/>
      <c r="R178" s="406"/>
      <c r="S178" s="406"/>
      <c r="T178" s="406"/>
    </row>
    <row r="179" spans="1:40" ht="25.5" x14ac:dyDescent="0.2">
      <c r="A179" s="446" t="s">
        <v>274</v>
      </c>
      <c r="B179" s="445" t="s">
        <v>275</v>
      </c>
      <c r="C179" s="736"/>
      <c r="D179" s="736"/>
      <c r="E179" s="736"/>
      <c r="F179" s="736"/>
      <c r="G179" s="736"/>
      <c r="H179" s="736"/>
      <c r="I179" s="794"/>
      <c r="J179" s="794"/>
      <c r="K179" s="794"/>
      <c r="L179" s="795"/>
      <c r="M179" s="794"/>
      <c r="N179" s="796"/>
      <c r="O179" s="449"/>
      <c r="P179" s="406"/>
      <c r="Q179" s="406"/>
      <c r="R179" s="406"/>
      <c r="S179" s="406"/>
      <c r="T179" s="406"/>
    </row>
    <row r="180" spans="1:40" s="447" customFormat="1" ht="15" customHeight="1" thickBot="1" x14ac:dyDescent="0.25">
      <c r="A180" s="403"/>
      <c r="B180" s="401" t="s">
        <v>349</v>
      </c>
      <c r="C180" s="721"/>
      <c r="D180" s="721"/>
      <c r="E180" s="721"/>
      <c r="F180" s="721"/>
      <c r="G180" s="721"/>
      <c r="H180" s="721"/>
      <c r="I180" s="789">
        <f>'6. sz.melléklet'!I72</f>
        <v>9303226</v>
      </c>
      <c r="J180" s="789">
        <f>SUM('6. sz.melléklet'!J72)</f>
        <v>23080050</v>
      </c>
      <c r="K180" s="789"/>
      <c r="L180" s="791"/>
      <c r="M180" s="789"/>
      <c r="N180" s="782">
        <f>SUM(C180:M180)</f>
        <v>32383276</v>
      </c>
      <c r="O180" s="449"/>
      <c r="P180" s="406"/>
      <c r="Q180" s="406"/>
      <c r="R180" s="406"/>
      <c r="S180" s="406"/>
      <c r="T180" s="406"/>
      <c r="U180" s="406"/>
      <c r="V180" s="406"/>
      <c r="W180" s="406"/>
      <c r="X180" s="406"/>
      <c r="Y180" s="406"/>
      <c r="Z180" s="406"/>
      <c r="AA180" s="406"/>
      <c r="AB180" s="406"/>
      <c r="AC180" s="406"/>
      <c r="AD180" s="406"/>
      <c r="AE180" s="406"/>
      <c r="AF180" s="406"/>
      <c r="AG180" s="406"/>
      <c r="AH180" s="406"/>
      <c r="AI180" s="406"/>
      <c r="AJ180" s="406"/>
      <c r="AK180" s="406"/>
      <c r="AL180" s="406"/>
      <c r="AM180" s="406"/>
      <c r="AN180" s="406"/>
    </row>
    <row r="181" spans="1:40" ht="15" customHeight="1" thickBot="1" x14ac:dyDescent="0.25">
      <c r="A181" s="1462"/>
      <c r="B181" s="1450" t="s">
        <v>350</v>
      </c>
      <c r="C181" s="1460"/>
      <c r="D181" s="1460"/>
      <c r="E181" s="1460"/>
      <c r="F181" s="1460"/>
      <c r="G181" s="1460"/>
      <c r="H181" s="1460"/>
      <c r="I181" s="790">
        <f>'6. sz.melléklet'!I73</f>
        <v>9303226</v>
      </c>
      <c r="J181" s="1474">
        <f>SUM('6. sz.melléklet'!J73)</f>
        <v>23080050</v>
      </c>
      <c r="K181" s="1474"/>
      <c r="L181" s="1475"/>
      <c r="M181" s="1474"/>
      <c r="N181" s="1471">
        <f>SUM(C181:M181)</f>
        <v>32383276</v>
      </c>
      <c r="O181" s="449"/>
      <c r="P181" s="406"/>
      <c r="Q181" s="406"/>
      <c r="R181" s="406"/>
      <c r="S181" s="406"/>
      <c r="T181" s="406"/>
    </row>
    <row r="182" spans="1:40" ht="38.25" x14ac:dyDescent="0.2">
      <c r="A182" s="446" t="s">
        <v>227</v>
      </c>
      <c r="B182" s="445" t="s">
        <v>228</v>
      </c>
      <c r="C182" s="736"/>
      <c r="D182" s="736"/>
      <c r="E182" s="736"/>
      <c r="F182" s="736"/>
      <c r="G182" s="736"/>
      <c r="H182" s="736"/>
      <c r="I182" s="794"/>
      <c r="J182" s="794"/>
      <c r="K182" s="794"/>
      <c r="L182" s="795"/>
      <c r="M182" s="794"/>
      <c r="N182" s="796"/>
      <c r="O182" s="449"/>
      <c r="P182" s="406"/>
      <c r="Q182" s="406"/>
      <c r="R182" s="406"/>
      <c r="S182" s="406"/>
      <c r="T182" s="406"/>
    </row>
    <row r="183" spans="1:40" s="447" customFormat="1" ht="15" customHeight="1" thickBot="1" x14ac:dyDescent="0.25">
      <c r="A183" s="403"/>
      <c r="B183" s="401" t="s">
        <v>349</v>
      </c>
      <c r="C183" s="721">
        <f>SUM('14.sz.melléklet'!C7)</f>
        <v>106460000</v>
      </c>
      <c r="D183" s="721">
        <f>SUM('14.sz.melléklet'!D7)</f>
        <v>19116000</v>
      </c>
      <c r="E183" s="721">
        <f>SUM('14.sz.melléklet'!E7)</f>
        <v>3500000</v>
      </c>
      <c r="F183" s="721"/>
      <c r="G183" s="721"/>
      <c r="H183" s="721">
        <f>SUM('14.sz.melléklet'!F7)</f>
        <v>1463000</v>
      </c>
      <c r="I183" s="789"/>
      <c r="J183" s="789"/>
      <c r="K183" s="789"/>
      <c r="L183" s="791"/>
      <c r="M183" s="789"/>
      <c r="N183" s="782">
        <f>SUM(C183:M183)</f>
        <v>130539000</v>
      </c>
      <c r="O183" s="449"/>
      <c r="P183" s="406"/>
      <c r="Q183" s="406"/>
      <c r="R183" s="406"/>
      <c r="S183" s="406"/>
      <c r="T183" s="406"/>
      <c r="U183" s="406"/>
      <c r="V183" s="406"/>
      <c r="W183" s="406"/>
      <c r="X183" s="406"/>
      <c r="Y183" s="406"/>
      <c r="Z183" s="406"/>
      <c r="AA183" s="406"/>
      <c r="AB183" s="406"/>
      <c r="AC183" s="406"/>
      <c r="AD183" s="406"/>
      <c r="AE183" s="406"/>
      <c r="AF183" s="406"/>
      <c r="AG183" s="406"/>
      <c r="AH183" s="406"/>
      <c r="AI183" s="406"/>
      <c r="AJ183" s="406"/>
      <c r="AK183" s="406"/>
      <c r="AL183" s="406"/>
      <c r="AM183" s="406"/>
      <c r="AN183" s="406"/>
    </row>
    <row r="184" spans="1:40" ht="15" customHeight="1" thickBot="1" x14ac:dyDescent="0.25">
      <c r="A184" s="1462"/>
      <c r="B184" s="1450" t="s">
        <v>350</v>
      </c>
      <c r="C184" s="1460">
        <f>SUM('14.sz.melléklet'!C8)</f>
        <v>113271200</v>
      </c>
      <c r="D184" s="1460">
        <f>SUM('14.sz.melléklet'!D8)</f>
        <v>20308000</v>
      </c>
      <c r="E184" s="1460">
        <f>SUM('14.sz.melléklet'!E8)</f>
        <v>3500000</v>
      </c>
      <c r="F184" s="1460"/>
      <c r="G184" s="1460"/>
      <c r="H184" s="1460">
        <f>SUM('14.sz.melléklet'!F8)</f>
        <v>1463000</v>
      </c>
      <c r="I184" s="1474"/>
      <c r="J184" s="1474"/>
      <c r="K184" s="1474"/>
      <c r="L184" s="1475"/>
      <c r="M184" s="1474"/>
      <c r="N184" s="1471">
        <f>SUM(C184:M184)</f>
        <v>138542200</v>
      </c>
      <c r="O184" s="449"/>
      <c r="P184" s="406"/>
      <c r="Q184" s="406"/>
      <c r="R184" s="406"/>
      <c r="S184" s="406"/>
      <c r="T184" s="406"/>
    </row>
    <row r="185" spans="1:40" ht="38.25" x14ac:dyDescent="0.2">
      <c r="A185" s="446" t="s">
        <v>231</v>
      </c>
      <c r="B185" s="445" t="s">
        <v>232</v>
      </c>
      <c r="C185" s="736"/>
      <c r="D185" s="736"/>
      <c r="E185" s="736"/>
      <c r="F185" s="736"/>
      <c r="G185" s="736"/>
      <c r="H185" s="736"/>
      <c r="I185" s="794"/>
      <c r="J185" s="794"/>
      <c r="K185" s="794"/>
      <c r="L185" s="795"/>
      <c r="M185" s="794"/>
      <c r="N185" s="796"/>
      <c r="O185" s="449"/>
      <c r="P185" s="406"/>
      <c r="Q185" s="406"/>
      <c r="R185" s="406"/>
      <c r="S185" s="406"/>
      <c r="T185" s="406"/>
    </row>
    <row r="186" spans="1:40" s="447" customFormat="1" ht="15" customHeight="1" thickBot="1" x14ac:dyDescent="0.25">
      <c r="A186" s="403"/>
      <c r="B186" s="401" t="s">
        <v>349</v>
      </c>
      <c r="C186" s="721"/>
      <c r="D186" s="721">
        <f>SUM('14.sz.melléklet'!D10)</f>
        <v>392000</v>
      </c>
      <c r="E186" s="721">
        <f>SUM('14.sz.melléklet'!E10)</f>
        <v>2290000</v>
      </c>
      <c r="F186" s="721"/>
      <c r="G186" s="721"/>
      <c r="H186" s="721"/>
      <c r="I186" s="789"/>
      <c r="J186" s="789"/>
      <c r="K186" s="789"/>
      <c r="L186" s="791"/>
      <c r="M186" s="789"/>
      <c r="N186" s="782">
        <f>SUM(C186:M186)</f>
        <v>2682000</v>
      </c>
      <c r="O186" s="449"/>
      <c r="P186" s="406"/>
      <c r="Q186" s="406"/>
      <c r="R186" s="406"/>
      <c r="S186" s="406"/>
      <c r="T186" s="406"/>
      <c r="U186" s="406"/>
      <c r="V186" s="406"/>
      <c r="W186" s="406"/>
      <c r="X186" s="406"/>
      <c r="Y186" s="406"/>
      <c r="Z186" s="406"/>
      <c r="AA186" s="406"/>
      <c r="AB186" s="406"/>
      <c r="AC186" s="406"/>
      <c r="AD186" s="406"/>
      <c r="AE186" s="406"/>
      <c r="AF186" s="406"/>
      <c r="AG186" s="406"/>
      <c r="AH186" s="406"/>
      <c r="AI186" s="406"/>
      <c r="AJ186" s="406"/>
      <c r="AK186" s="406"/>
      <c r="AL186" s="406"/>
      <c r="AM186" s="406"/>
      <c r="AN186" s="406"/>
    </row>
    <row r="187" spans="1:40" ht="15" customHeight="1" thickBot="1" x14ac:dyDescent="0.25">
      <c r="A187" s="1462"/>
      <c r="B187" s="1450" t="s">
        <v>350</v>
      </c>
      <c r="C187" s="1460"/>
      <c r="D187" s="1460">
        <f>SUM('14.sz.melléklet'!D11)</f>
        <v>392000</v>
      </c>
      <c r="E187" s="1460">
        <f>SUM('14.sz.melléklet'!E11)</f>
        <v>2290000</v>
      </c>
      <c r="F187" s="1460"/>
      <c r="G187" s="1460"/>
      <c r="H187" s="1460"/>
      <c r="I187" s="1474"/>
      <c r="J187" s="1474"/>
      <c r="K187" s="1474"/>
      <c r="L187" s="1475"/>
      <c r="M187" s="1474"/>
      <c r="N187" s="1471">
        <f>SUM(C187:M187)</f>
        <v>2682000</v>
      </c>
      <c r="O187" s="449"/>
      <c r="P187" s="406"/>
      <c r="Q187" s="406"/>
      <c r="R187" s="406"/>
      <c r="S187" s="406"/>
      <c r="T187" s="406"/>
    </row>
    <row r="188" spans="1:40" ht="38.25" x14ac:dyDescent="0.2">
      <c r="A188" s="446" t="s">
        <v>229</v>
      </c>
      <c r="B188" s="445" t="s">
        <v>230</v>
      </c>
      <c r="C188" s="736"/>
      <c r="D188" s="736"/>
      <c r="E188" s="736"/>
      <c r="F188" s="736"/>
      <c r="G188" s="736"/>
      <c r="H188" s="736"/>
      <c r="I188" s="794"/>
      <c r="J188" s="794"/>
      <c r="K188" s="794"/>
      <c r="L188" s="795"/>
      <c r="M188" s="794"/>
      <c r="N188" s="796"/>
      <c r="O188" s="449"/>
      <c r="P188" s="406"/>
      <c r="Q188" s="406"/>
      <c r="R188" s="406"/>
      <c r="S188" s="406"/>
      <c r="T188" s="406"/>
    </row>
    <row r="189" spans="1:40" s="447" customFormat="1" ht="15" customHeight="1" thickBot="1" x14ac:dyDescent="0.25">
      <c r="A189" s="403"/>
      <c r="B189" s="401" t="s">
        <v>349</v>
      </c>
      <c r="C189" s="721">
        <f>SUM('14.sz.melléklet'!C13)</f>
        <v>2457000</v>
      </c>
      <c r="D189" s="721">
        <f>SUM('14.sz.melléklet'!D13)</f>
        <v>523000</v>
      </c>
      <c r="E189" s="721">
        <f>SUM('14.sz.melléklet'!E13)</f>
        <v>14797000</v>
      </c>
      <c r="F189" s="721"/>
      <c r="G189" s="721"/>
      <c r="H189" s="721">
        <f>SUM('14.sz.melléklet'!F13)</f>
        <v>1990000</v>
      </c>
      <c r="I189" s="789"/>
      <c r="J189" s="789"/>
      <c r="K189" s="789"/>
      <c r="L189" s="791"/>
      <c r="M189" s="789"/>
      <c r="N189" s="782">
        <f>SUM(C189:M189)</f>
        <v>19767000</v>
      </c>
      <c r="O189" s="449"/>
      <c r="P189" s="406"/>
      <c r="Q189" s="406"/>
      <c r="R189" s="406"/>
      <c r="S189" s="406"/>
      <c r="T189" s="406"/>
      <c r="U189" s="406"/>
      <c r="V189" s="406"/>
      <c r="W189" s="406"/>
      <c r="X189" s="406"/>
      <c r="Y189" s="406"/>
      <c r="Z189" s="406"/>
      <c r="AA189" s="406"/>
      <c r="AB189" s="406"/>
      <c r="AC189" s="406"/>
      <c r="AD189" s="406"/>
      <c r="AE189" s="406"/>
      <c r="AF189" s="406"/>
      <c r="AG189" s="406"/>
      <c r="AH189" s="406"/>
      <c r="AI189" s="406"/>
      <c r="AJ189" s="406"/>
      <c r="AK189" s="406"/>
      <c r="AL189" s="406"/>
      <c r="AM189" s="406"/>
      <c r="AN189" s="406"/>
    </row>
    <row r="190" spans="1:40" ht="15" customHeight="1" thickBot="1" x14ac:dyDescent="0.25">
      <c r="A190" s="1462"/>
      <c r="B190" s="1450" t="s">
        <v>350</v>
      </c>
      <c r="C190" s="1460">
        <f>SUM('14.sz.melléklet'!C14)</f>
        <v>2617800</v>
      </c>
      <c r="D190" s="1460">
        <f>SUM('14.sz.melléklet'!D14)</f>
        <v>2551200</v>
      </c>
      <c r="E190" s="1460">
        <f>SUM('14.sz.melléklet'!E14)</f>
        <v>14797000</v>
      </c>
      <c r="F190" s="1460"/>
      <c r="G190" s="1460"/>
      <c r="H190" s="1460">
        <f>SUM('14.sz.melléklet'!F14)</f>
        <v>1990000</v>
      </c>
      <c r="I190" s="1474"/>
      <c r="J190" s="1474"/>
      <c r="K190" s="1474"/>
      <c r="L190" s="1475"/>
      <c r="M190" s="1474"/>
      <c r="N190" s="1471">
        <f>SUM(C190:M190)</f>
        <v>21956000</v>
      </c>
      <c r="O190" s="449"/>
      <c r="P190" s="406"/>
      <c r="Q190" s="406"/>
      <c r="R190" s="406"/>
      <c r="S190" s="406"/>
      <c r="T190" s="406"/>
    </row>
    <row r="191" spans="1:40" ht="25.5" x14ac:dyDescent="0.2">
      <c r="A191" s="446" t="s">
        <v>377</v>
      </c>
      <c r="B191" s="445" t="s">
        <v>381</v>
      </c>
      <c r="C191" s="736"/>
      <c r="D191" s="736"/>
      <c r="E191" s="736"/>
      <c r="F191" s="736"/>
      <c r="G191" s="736"/>
      <c r="H191" s="736"/>
      <c r="I191" s="794"/>
      <c r="J191" s="794"/>
      <c r="K191" s="794"/>
      <c r="L191" s="795"/>
      <c r="M191" s="794"/>
      <c r="N191" s="796"/>
      <c r="O191" s="449"/>
      <c r="P191" s="406"/>
      <c r="Q191" s="406"/>
      <c r="R191" s="406"/>
      <c r="S191" s="406"/>
      <c r="T191" s="406"/>
    </row>
    <row r="192" spans="1:40" s="447" customFormat="1" ht="15" customHeight="1" thickBot="1" x14ac:dyDescent="0.25">
      <c r="A192" s="403"/>
      <c r="B192" s="401" t="s">
        <v>349</v>
      </c>
      <c r="C192" s="721">
        <f>SUM('14.sz.melléklet'!C16)</f>
        <v>4910000</v>
      </c>
      <c r="D192" s="721">
        <f>'14.sz.melléklet'!D16</f>
        <v>878000</v>
      </c>
      <c r="E192" s="721">
        <f>SUM('6. sz.melléklet'!E75+'14.sz.melléklet'!E16)</f>
        <v>52851000</v>
      </c>
      <c r="F192" s="721"/>
      <c r="G192" s="721"/>
      <c r="H192" s="721">
        <f>SUM('14.sz.melléklet'!F16)</f>
        <v>210000</v>
      </c>
      <c r="I192" s="789"/>
      <c r="J192" s="789"/>
      <c r="K192" s="789"/>
      <c r="L192" s="791"/>
      <c r="M192" s="789"/>
      <c r="N192" s="782">
        <f>SUM(C192:M192)</f>
        <v>58849000</v>
      </c>
      <c r="O192" s="449"/>
      <c r="P192" s="406"/>
      <c r="Q192" s="406"/>
      <c r="R192" s="406"/>
      <c r="S192" s="406"/>
      <c r="T192" s="406"/>
      <c r="U192" s="406"/>
      <c r="V192" s="406"/>
      <c r="W192" s="406"/>
      <c r="X192" s="406"/>
      <c r="Y192" s="406"/>
      <c r="Z192" s="406"/>
      <c r="AA192" s="406"/>
      <c r="AB192" s="406"/>
      <c r="AC192" s="406"/>
      <c r="AD192" s="406"/>
      <c r="AE192" s="406"/>
      <c r="AF192" s="406"/>
      <c r="AG192" s="406"/>
      <c r="AH192" s="406"/>
      <c r="AI192" s="406"/>
      <c r="AJ192" s="406"/>
      <c r="AK192" s="406"/>
      <c r="AL192" s="406"/>
      <c r="AM192" s="406"/>
      <c r="AN192" s="406"/>
    </row>
    <row r="193" spans="1:40" ht="15" customHeight="1" thickBot="1" x14ac:dyDescent="0.25">
      <c r="A193" s="404"/>
      <c r="B193" s="402" t="s">
        <v>350</v>
      </c>
      <c r="C193" s="723">
        <f>SUM('14.sz.melléklet'!C17)</f>
        <v>5216000</v>
      </c>
      <c r="D193" s="723">
        <f>'14.sz.melléklet'!D17</f>
        <v>932000</v>
      </c>
      <c r="E193" s="723">
        <f>SUM('6. sz.melléklet'!E76+'14.sz.melléklet'!E17)</f>
        <v>52851000</v>
      </c>
      <c r="F193" s="723"/>
      <c r="G193" s="723"/>
      <c r="H193" s="723">
        <f>SUM('14.sz.melléklet'!F17)</f>
        <v>210000</v>
      </c>
      <c r="I193" s="790"/>
      <c r="J193" s="790"/>
      <c r="K193" s="790"/>
      <c r="L193" s="792"/>
      <c r="M193" s="790"/>
      <c r="N193" s="779">
        <f>SUM(C193:M193)</f>
        <v>59209000</v>
      </c>
      <c r="O193" s="449"/>
      <c r="P193" s="406"/>
      <c r="Q193" s="406"/>
      <c r="R193" s="406"/>
      <c r="S193" s="406"/>
      <c r="T193" s="406"/>
    </row>
    <row r="194" spans="1:40" s="717" customFormat="1" ht="25.5" x14ac:dyDescent="0.2">
      <c r="A194" s="966" t="s">
        <v>503</v>
      </c>
      <c r="B194" s="967" t="s">
        <v>504</v>
      </c>
      <c r="C194" s="968"/>
      <c r="D194" s="968"/>
      <c r="E194" s="968"/>
      <c r="F194" s="968"/>
      <c r="G194" s="968"/>
      <c r="H194" s="968"/>
      <c r="I194" s="969"/>
      <c r="J194" s="969"/>
      <c r="K194" s="969"/>
      <c r="L194" s="970"/>
      <c r="M194" s="969"/>
      <c r="N194" s="971"/>
      <c r="O194" s="716"/>
    </row>
    <row r="195" spans="1:40" s="717" customFormat="1" ht="15" customHeight="1" x14ac:dyDescent="0.2">
      <c r="A195" s="1172"/>
      <c r="B195" s="1160" t="s">
        <v>349</v>
      </c>
      <c r="C195" s="1161"/>
      <c r="D195" s="1161"/>
      <c r="E195" s="1161">
        <f>'6. sz.melléklet'!E78</f>
        <v>4499483</v>
      </c>
      <c r="F195" s="1161"/>
      <c r="G195" s="1161"/>
      <c r="H195" s="1161">
        <f>SUM('6. sz.melléklet'!H78)</f>
        <v>384101433</v>
      </c>
      <c r="I195" s="1208"/>
      <c r="J195" s="1208"/>
      <c r="K195" s="1208"/>
      <c r="L195" s="1209"/>
      <c r="M195" s="1208"/>
      <c r="N195" s="1210">
        <f>SUM(C195:M195)</f>
        <v>388600916</v>
      </c>
      <c r="O195" s="716"/>
    </row>
    <row r="196" spans="1:40" s="717" customFormat="1" ht="15" customHeight="1" thickBot="1" x14ac:dyDescent="0.25">
      <c r="A196" s="1169"/>
      <c r="B196" s="1170" t="s">
        <v>350</v>
      </c>
      <c r="C196" s="1171">
        <f>'6. sz.melléklet'!C79+'21.sz.melléklet'!C8</f>
        <v>2899414</v>
      </c>
      <c r="D196" s="1171">
        <f>'6. sz.melléklet'!D79+'21.sz.melléklet'!D8</f>
        <v>445000</v>
      </c>
      <c r="E196" s="1895">
        <f>'6. sz.melléklet'!E79+'21.sz.melléklet'!E8</f>
        <v>4899483</v>
      </c>
      <c r="F196" s="1171"/>
      <c r="G196" s="1171"/>
      <c r="H196" s="1895">
        <f>SUM('6. sz.melléklet'!H79)</f>
        <v>307011457</v>
      </c>
      <c r="I196" s="1174"/>
      <c r="J196" s="1174"/>
      <c r="K196" s="1174"/>
      <c r="L196" s="1175"/>
      <c r="M196" s="1174"/>
      <c r="N196" s="1478">
        <f>SUM(C196:M196)</f>
        <v>315255354</v>
      </c>
      <c r="O196" s="716"/>
    </row>
    <row r="197" spans="1:40" ht="25.5" x14ac:dyDescent="0.2">
      <c r="A197" s="446" t="s">
        <v>435</v>
      </c>
      <c r="B197" s="445" t="s">
        <v>437</v>
      </c>
      <c r="C197" s="736"/>
      <c r="D197" s="736"/>
      <c r="E197" s="736"/>
      <c r="F197" s="736"/>
      <c r="G197" s="736"/>
      <c r="H197" s="736"/>
      <c r="I197" s="794"/>
      <c r="J197" s="794"/>
      <c r="K197" s="794"/>
      <c r="L197" s="795"/>
      <c r="M197" s="794"/>
      <c r="N197" s="796"/>
      <c r="O197" s="449"/>
      <c r="P197" s="406"/>
      <c r="Q197" s="406"/>
      <c r="R197" s="406"/>
      <c r="S197" s="406"/>
      <c r="T197" s="406"/>
    </row>
    <row r="198" spans="1:40" ht="15" customHeight="1" x14ac:dyDescent="0.2">
      <c r="A198" s="403"/>
      <c r="B198" s="401" t="s">
        <v>349</v>
      </c>
      <c r="C198" s="721"/>
      <c r="D198" s="721"/>
      <c r="E198" s="721">
        <f>SUM('6. sz.melléklet'!E81)</f>
        <v>603000</v>
      </c>
      <c r="F198" s="721"/>
      <c r="G198" s="721"/>
      <c r="H198" s="721"/>
      <c r="I198" s="789"/>
      <c r="J198" s="789"/>
      <c r="K198" s="789"/>
      <c r="L198" s="789"/>
      <c r="M198" s="789"/>
      <c r="N198" s="782">
        <f>SUM(C198:M198)</f>
        <v>603000</v>
      </c>
      <c r="O198" s="449"/>
      <c r="P198" s="406"/>
      <c r="Q198" s="406"/>
      <c r="R198" s="406"/>
      <c r="S198" s="406"/>
      <c r="T198" s="406"/>
    </row>
    <row r="199" spans="1:40" ht="15" customHeight="1" thickBot="1" x14ac:dyDescent="0.25">
      <c r="A199" s="1462"/>
      <c r="B199" s="1450" t="s">
        <v>350</v>
      </c>
      <c r="C199" s="1460"/>
      <c r="D199" s="1460"/>
      <c r="E199" s="1460">
        <f>SUM('6. sz.melléklet'!E82)</f>
        <v>603000</v>
      </c>
      <c r="F199" s="1460"/>
      <c r="G199" s="1460"/>
      <c r="H199" s="1460"/>
      <c r="I199" s="1474"/>
      <c r="J199" s="1474"/>
      <c r="K199" s="1474"/>
      <c r="L199" s="1475"/>
      <c r="M199" s="1474"/>
      <c r="N199" s="1471">
        <f>SUM(E199:M199)</f>
        <v>603000</v>
      </c>
      <c r="O199" s="449"/>
      <c r="P199" s="406"/>
      <c r="Q199" s="406"/>
      <c r="R199" s="406"/>
      <c r="S199" s="406"/>
      <c r="T199" s="406"/>
    </row>
    <row r="200" spans="1:40" ht="15" customHeight="1" x14ac:dyDescent="0.2">
      <c r="A200" s="446" t="s">
        <v>261</v>
      </c>
      <c r="B200" s="445" t="s">
        <v>111</v>
      </c>
      <c r="C200" s="736"/>
      <c r="D200" s="736"/>
      <c r="E200" s="736"/>
      <c r="F200" s="736"/>
      <c r="G200" s="736"/>
      <c r="H200" s="736"/>
      <c r="I200" s="794"/>
      <c r="J200" s="794"/>
      <c r="K200" s="794"/>
      <c r="L200" s="795"/>
      <c r="M200" s="794"/>
      <c r="N200" s="796"/>
      <c r="O200" s="449"/>
      <c r="P200" s="406"/>
      <c r="Q200" s="406"/>
      <c r="R200" s="406"/>
      <c r="S200" s="406"/>
      <c r="T200" s="406"/>
    </row>
    <row r="201" spans="1:40" s="447" customFormat="1" ht="15" customHeight="1" thickBot="1" x14ac:dyDescent="0.25">
      <c r="A201" s="403"/>
      <c r="B201" s="401" t="s">
        <v>349</v>
      </c>
      <c r="C201" s="721"/>
      <c r="D201" s="721"/>
      <c r="E201" s="721">
        <f>SUM('6. sz.melléklet'!E84)</f>
        <v>1170000</v>
      </c>
      <c r="F201" s="721"/>
      <c r="G201" s="721"/>
      <c r="H201" s="721"/>
      <c r="I201" s="789"/>
      <c r="J201" s="789"/>
      <c r="K201" s="789"/>
      <c r="L201" s="791"/>
      <c r="M201" s="789"/>
      <c r="N201" s="782">
        <f>SUM(C201:M201)</f>
        <v>1170000</v>
      </c>
      <c r="O201" s="449"/>
      <c r="P201" s="406"/>
      <c r="Q201" s="406"/>
      <c r="R201" s="406"/>
      <c r="S201" s="406"/>
      <c r="T201" s="406"/>
      <c r="U201" s="406"/>
      <c r="V201" s="406"/>
      <c r="W201" s="406"/>
      <c r="X201" s="406"/>
      <c r="Y201" s="406"/>
      <c r="Z201" s="406"/>
      <c r="AA201" s="406"/>
      <c r="AB201" s="406"/>
      <c r="AC201" s="406"/>
      <c r="AD201" s="406"/>
      <c r="AE201" s="406"/>
      <c r="AF201" s="406"/>
      <c r="AG201" s="406"/>
      <c r="AH201" s="406"/>
      <c r="AI201" s="406"/>
      <c r="AJ201" s="406"/>
      <c r="AK201" s="406"/>
      <c r="AL201" s="406"/>
      <c r="AM201" s="406"/>
      <c r="AN201" s="406"/>
    </row>
    <row r="202" spans="1:40" ht="15" customHeight="1" thickBot="1" x14ac:dyDescent="0.25">
      <c r="A202" s="404"/>
      <c r="B202" s="402" t="s">
        <v>350</v>
      </c>
      <c r="C202" s="723"/>
      <c r="D202" s="723"/>
      <c r="E202" s="723">
        <f>SUM('6. sz.melléklet'!E85)</f>
        <v>1170000</v>
      </c>
      <c r="F202" s="723"/>
      <c r="G202" s="723"/>
      <c r="H202" s="723"/>
      <c r="I202" s="790"/>
      <c r="J202" s="790"/>
      <c r="K202" s="790"/>
      <c r="L202" s="792"/>
      <c r="M202" s="790"/>
      <c r="N202" s="779">
        <f>SUM(C202:M202)</f>
        <v>1170000</v>
      </c>
      <c r="O202" s="449"/>
      <c r="P202" s="406"/>
      <c r="Q202" s="406"/>
      <c r="R202" s="406"/>
      <c r="S202" s="406"/>
      <c r="T202" s="406"/>
    </row>
    <row r="203" spans="1:40" ht="25.5" x14ac:dyDescent="0.2">
      <c r="A203" s="446" t="s">
        <v>262</v>
      </c>
      <c r="B203" s="445" t="s">
        <v>263</v>
      </c>
      <c r="C203" s="736"/>
      <c r="D203" s="736"/>
      <c r="E203" s="736"/>
      <c r="F203" s="736"/>
      <c r="G203" s="736"/>
      <c r="H203" s="736"/>
      <c r="I203" s="794"/>
      <c r="J203" s="794"/>
      <c r="K203" s="794"/>
      <c r="L203" s="795"/>
      <c r="M203" s="794"/>
      <c r="N203" s="796"/>
      <c r="O203" s="449"/>
      <c r="P203" s="406"/>
      <c r="Q203" s="406"/>
      <c r="R203" s="406"/>
      <c r="S203" s="406"/>
      <c r="T203" s="406"/>
    </row>
    <row r="204" spans="1:40" s="447" customFormat="1" ht="15" customHeight="1" thickBot="1" x14ac:dyDescent="0.25">
      <c r="A204" s="403"/>
      <c r="B204" s="401" t="s">
        <v>349</v>
      </c>
      <c r="C204" s="721"/>
      <c r="D204" s="721"/>
      <c r="E204" s="721"/>
      <c r="F204" s="721">
        <f>SUM('6. sz.melléklet'!F87)</f>
        <v>500000</v>
      </c>
      <c r="G204" s="721"/>
      <c r="H204" s="721"/>
      <c r="I204" s="789"/>
      <c r="J204" s="789"/>
      <c r="K204" s="789"/>
      <c r="L204" s="791"/>
      <c r="M204" s="789"/>
      <c r="N204" s="782">
        <f t="shared" ref="N204:N211" si="7">SUM(C204:M204)</f>
        <v>500000</v>
      </c>
      <c r="O204" s="449"/>
      <c r="P204" s="406"/>
      <c r="Q204" s="406"/>
      <c r="R204" s="406"/>
      <c r="S204" s="406"/>
      <c r="T204" s="406"/>
      <c r="U204" s="406"/>
      <c r="V204" s="406"/>
      <c r="W204" s="406"/>
      <c r="X204" s="406"/>
      <c r="Y204" s="406"/>
      <c r="Z204" s="406"/>
      <c r="AA204" s="406"/>
      <c r="AB204" s="406"/>
      <c r="AC204" s="406"/>
      <c r="AD204" s="406"/>
      <c r="AE204" s="406"/>
      <c r="AF204" s="406"/>
      <c r="AG204" s="406"/>
      <c r="AH204" s="406"/>
      <c r="AI204" s="406"/>
      <c r="AJ204" s="406"/>
      <c r="AK204" s="406"/>
      <c r="AL204" s="406"/>
      <c r="AM204" s="406"/>
      <c r="AN204" s="406"/>
    </row>
    <row r="205" spans="1:40" ht="15" customHeight="1" thickBot="1" x14ac:dyDescent="0.25">
      <c r="A205" s="1462"/>
      <c r="B205" s="1450" t="s">
        <v>350</v>
      </c>
      <c r="C205" s="1460"/>
      <c r="D205" s="1460"/>
      <c r="E205" s="1460"/>
      <c r="F205" s="1460">
        <f>SUM('6. sz.melléklet'!F88)</f>
        <v>500000</v>
      </c>
      <c r="G205" s="1460"/>
      <c r="H205" s="1460"/>
      <c r="I205" s="1474"/>
      <c r="J205" s="1474"/>
      <c r="K205" s="1474"/>
      <c r="L205" s="1475"/>
      <c r="M205" s="1474"/>
      <c r="N205" s="1471">
        <f t="shared" si="7"/>
        <v>500000</v>
      </c>
      <c r="O205" s="449"/>
      <c r="P205" s="406"/>
      <c r="Q205" s="406"/>
      <c r="R205" s="406"/>
      <c r="S205" s="406"/>
      <c r="T205" s="406"/>
    </row>
    <row r="206" spans="1:40" ht="15" customHeight="1" x14ac:dyDescent="0.2">
      <c r="A206" s="446" t="s">
        <v>474</v>
      </c>
      <c r="B206" s="445" t="s">
        <v>475</v>
      </c>
      <c r="C206" s="736"/>
      <c r="D206" s="736"/>
      <c r="E206" s="736"/>
      <c r="F206" s="736"/>
      <c r="G206" s="736"/>
      <c r="H206" s="736"/>
      <c r="I206" s="794"/>
      <c r="J206" s="794"/>
      <c r="K206" s="794"/>
      <c r="L206" s="795"/>
      <c r="M206" s="794"/>
      <c r="N206" s="796"/>
      <c r="O206" s="449"/>
      <c r="P206" s="406"/>
      <c r="Q206" s="406"/>
      <c r="R206" s="406"/>
      <c r="S206" s="406"/>
      <c r="T206" s="406"/>
    </row>
    <row r="207" spans="1:40" s="447" customFormat="1" ht="15" customHeight="1" thickBot="1" x14ac:dyDescent="0.25">
      <c r="A207" s="403"/>
      <c r="B207" s="401" t="s">
        <v>349</v>
      </c>
      <c r="C207" s="721"/>
      <c r="D207" s="721"/>
      <c r="E207" s="721"/>
      <c r="F207" s="721">
        <f>SUM('6. sz.melléklet'!F90)</f>
        <v>0</v>
      </c>
      <c r="G207" s="721"/>
      <c r="H207" s="721"/>
      <c r="I207" s="789"/>
      <c r="J207" s="789"/>
      <c r="K207" s="789"/>
      <c r="L207" s="791"/>
      <c r="M207" s="789"/>
      <c r="N207" s="782">
        <f t="shared" si="7"/>
        <v>0</v>
      </c>
      <c r="O207" s="449"/>
      <c r="P207" s="406"/>
      <c r="Q207" s="406"/>
      <c r="R207" s="406"/>
      <c r="S207" s="406"/>
      <c r="T207" s="406"/>
      <c r="U207" s="406"/>
      <c r="V207" s="406"/>
      <c r="W207" s="406"/>
      <c r="X207" s="406"/>
      <c r="Y207" s="406"/>
      <c r="Z207" s="406"/>
      <c r="AA207" s="406"/>
      <c r="AB207" s="406"/>
      <c r="AC207" s="406"/>
      <c r="AD207" s="406"/>
      <c r="AE207" s="406"/>
      <c r="AF207" s="406"/>
      <c r="AG207" s="406"/>
      <c r="AH207" s="406"/>
      <c r="AI207" s="406"/>
      <c r="AJ207" s="406"/>
      <c r="AK207" s="406"/>
      <c r="AL207" s="406"/>
      <c r="AM207" s="406"/>
      <c r="AN207" s="406"/>
    </row>
    <row r="208" spans="1:40" ht="15" customHeight="1" thickBot="1" x14ac:dyDescent="0.25">
      <c r="A208" s="1462"/>
      <c r="B208" s="1450" t="s">
        <v>350</v>
      </c>
      <c r="C208" s="1460"/>
      <c r="D208" s="1460"/>
      <c r="E208" s="1460"/>
      <c r="F208" s="1460"/>
      <c r="G208" s="1460"/>
      <c r="H208" s="1460"/>
      <c r="I208" s="1474"/>
      <c r="J208" s="1474"/>
      <c r="K208" s="1474"/>
      <c r="L208" s="1475"/>
      <c r="M208" s="1474"/>
      <c r="N208" s="1471">
        <f t="shared" si="7"/>
        <v>0</v>
      </c>
      <c r="O208" s="449"/>
      <c r="P208" s="406"/>
      <c r="Q208" s="406"/>
      <c r="R208" s="406"/>
      <c r="S208" s="406"/>
      <c r="T208" s="406"/>
    </row>
    <row r="209" spans="1:40" ht="25.5" x14ac:dyDescent="0.2">
      <c r="A209" s="446" t="s">
        <v>264</v>
      </c>
      <c r="B209" s="445" t="s">
        <v>265</v>
      </c>
      <c r="C209" s="736"/>
      <c r="D209" s="736"/>
      <c r="E209" s="736"/>
      <c r="F209" s="736"/>
      <c r="G209" s="736"/>
      <c r="H209" s="736"/>
      <c r="I209" s="794"/>
      <c r="J209" s="794"/>
      <c r="K209" s="794"/>
      <c r="L209" s="795"/>
      <c r="M209" s="794"/>
      <c r="N209" s="796">
        <f t="shared" si="7"/>
        <v>0</v>
      </c>
      <c r="O209" s="449"/>
      <c r="P209" s="406"/>
      <c r="Q209" s="406"/>
      <c r="R209" s="406"/>
      <c r="S209" s="406"/>
      <c r="T209" s="406"/>
    </row>
    <row r="210" spans="1:40" s="447" customFormat="1" ht="15" customHeight="1" thickBot="1" x14ac:dyDescent="0.25">
      <c r="A210" s="403"/>
      <c r="B210" s="401" t="s">
        <v>349</v>
      </c>
      <c r="C210" s="721"/>
      <c r="D210" s="721"/>
      <c r="E210" s="721"/>
      <c r="F210" s="721">
        <f>SUM('6. sz.melléklet'!F93)</f>
        <v>0</v>
      </c>
      <c r="G210" s="721"/>
      <c r="H210" s="721"/>
      <c r="I210" s="789"/>
      <c r="J210" s="789"/>
      <c r="K210" s="789"/>
      <c r="L210" s="791"/>
      <c r="M210" s="789"/>
      <c r="N210" s="782">
        <f t="shared" si="7"/>
        <v>0</v>
      </c>
      <c r="O210" s="449"/>
      <c r="P210" s="406"/>
      <c r="Q210" s="406"/>
      <c r="R210" s="406"/>
      <c r="S210" s="406"/>
      <c r="T210" s="406"/>
      <c r="U210" s="406"/>
      <c r="V210" s="406"/>
      <c r="W210" s="406"/>
      <c r="X210" s="406"/>
      <c r="Y210" s="406"/>
      <c r="Z210" s="406"/>
      <c r="AA210" s="406"/>
      <c r="AB210" s="406"/>
      <c r="AC210" s="406"/>
      <c r="AD210" s="406"/>
      <c r="AE210" s="406"/>
      <c r="AF210" s="406"/>
      <c r="AG210" s="406"/>
      <c r="AH210" s="406"/>
      <c r="AI210" s="406"/>
      <c r="AJ210" s="406"/>
      <c r="AK210" s="406"/>
      <c r="AL210" s="406"/>
      <c r="AM210" s="406"/>
      <c r="AN210" s="406"/>
    </row>
    <row r="211" spans="1:40" ht="15" customHeight="1" thickBot="1" x14ac:dyDescent="0.25">
      <c r="A211" s="1462"/>
      <c r="B211" s="1450" t="s">
        <v>350</v>
      </c>
      <c r="C211" s="1460"/>
      <c r="D211" s="1460"/>
      <c r="E211" s="1460"/>
      <c r="F211" s="1460">
        <f>SUM('6. sz.melléklet'!F94)</f>
        <v>0</v>
      </c>
      <c r="G211" s="1460"/>
      <c r="H211" s="1460"/>
      <c r="I211" s="1474"/>
      <c r="J211" s="1474"/>
      <c r="K211" s="1474"/>
      <c r="L211" s="1475"/>
      <c r="M211" s="1474"/>
      <c r="N211" s="1471">
        <f t="shared" si="7"/>
        <v>0</v>
      </c>
      <c r="O211" s="449"/>
      <c r="P211" s="406"/>
      <c r="Q211" s="406"/>
      <c r="R211" s="406"/>
      <c r="S211" s="406"/>
      <c r="T211" s="406"/>
    </row>
    <row r="212" spans="1:40" ht="25.5" x14ac:dyDescent="0.2">
      <c r="A212" s="446" t="s">
        <v>266</v>
      </c>
      <c r="B212" s="445" t="s">
        <v>267</v>
      </c>
      <c r="C212" s="736"/>
      <c r="D212" s="736"/>
      <c r="E212" s="736"/>
      <c r="F212" s="736"/>
      <c r="G212" s="736"/>
      <c r="H212" s="736"/>
      <c r="I212" s="794"/>
      <c r="J212" s="794"/>
      <c r="K212" s="794"/>
      <c r="L212" s="795"/>
      <c r="M212" s="794"/>
      <c r="N212" s="796"/>
      <c r="O212" s="449"/>
      <c r="P212" s="406"/>
      <c r="Q212" s="406"/>
      <c r="R212" s="406"/>
      <c r="S212" s="406"/>
      <c r="T212" s="406"/>
    </row>
    <row r="213" spans="1:40" s="447" customFormat="1" ht="15" customHeight="1" thickBot="1" x14ac:dyDescent="0.25">
      <c r="A213" s="403"/>
      <c r="B213" s="401" t="s">
        <v>349</v>
      </c>
      <c r="C213" s="721"/>
      <c r="D213" s="721"/>
      <c r="E213" s="721"/>
      <c r="F213" s="721">
        <f>SUM('6. sz.melléklet'!F99)</f>
        <v>23396000</v>
      </c>
      <c r="G213" s="721"/>
      <c r="H213" s="721"/>
      <c r="I213" s="789">
        <f>'6. sz.melléklet'!I99</f>
        <v>1000000</v>
      </c>
      <c r="J213" s="789"/>
      <c r="K213" s="789"/>
      <c r="L213" s="791"/>
      <c r="M213" s="789"/>
      <c r="N213" s="782">
        <f>SUM(C213:M213)</f>
        <v>24396000</v>
      </c>
      <c r="O213" s="449"/>
      <c r="P213" s="406"/>
      <c r="Q213" s="406"/>
      <c r="R213" s="406"/>
      <c r="S213" s="406"/>
      <c r="T213" s="406"/>
      <c r="U213" s="406"/>
      <c r="V213" s="406"/>
      <c r="W213" s="406"/>
      <c r="X213" s="406"/>
      <c r="Y213" s="406"/>
      <c r="Z213" s="406"/>
      <c r="AA213" s="406"/>
      <c r="AB213" s="406"/>
      <c r="AC213" s="406"/>
      <c r="AD213" s="406"/>
      <c r="AE213" s="406"/>
      <c r="AF213" s="406"/>
      <c r="AG213" s="406"/>
      <c r="AH213" s="406"/>
      <c r="AI213" s="406"/>
      <c r="AJ213" s="406"/>
      <c r="AK213" s="406"/>
      <c r="AL213" s="406"/>
      <c r="AM213" s="406"/>
      <c r="AN213" s="406"/>
    </row>
    <row r="214" spans="1:40" ht="15" customHeight="1" thickBot="1" x14ac:dyDescent="0.25">
      <c r="A214" s="1462"/>
      <c r="B214" s="1450" t="s">
        <v>350</v>
      </c>
      <c r="C214" s="1460"/>
      <c r="D214" s="1460"/>
      <c r="E214" s="1460"/>
      <c r="F214" s="1460">
        <f>SUM('6. sz.melléklet'!F100)</f>
        <v>23396000</v>
      </c>
      <c r="G214" s="1460"/>
      <c r="H214" s="1460"/>
      <c r="I214" s="790">
        <f>'6. sz.melléklet'!I100</f>
        <v>1000000</v>
      </c>
      <c r="J214" s="1474"/>
      <c r="K214" s="1474"/>
      <c r="L214" s="1475"/>
      <c r="M214" s="1474"/>
      <c r="N214" s="1471">
        <f>SUM(C214:M214)</f>
        <v>24396000</v>
      </c>
      <c r="O214" s="449"/>
      <c r="P214" s="406"/>
      <c r="Q214" s="406"/>
      <c r="R214" s="406"/>
      <c r="S214" s="406"/>
      <c r="T214" s="406"/>
    </row>
    <row r="215" spans="1:40" ht="25.5" x14ac:dyDescent="0.2">
      <c r="A215" s="446" t="s">
        <v>272</v>
      </c>
      <c r="B215" s="445" t="s">
        <v>107</v>
      </c>
      <c r="C215" s="736"/>
      <c r="D215" s="736"/>
      <c r="E215" s="736"/>
      <c r="F215" s="736"/>
      <c r="G215" s="736"/>
      <c r="H215" s="736"/>
      <c r="I215" s="794"/>
      <c r="J215" s="794"/>
      <c r="K215" s="794"/>
      <c r="L215" s="795"/>
      <c r="M215" s="794"/>
      <c r="N215" s="796"/>
      <c r="O215" s="449"/>
      <c r="P215" s="406"/>
      <c r="Q215" s="406"/>
      <c r="R215" s="406"/>
      <c r="S215" s="406"/>
      <c r="T215" s="406"/>
    </row>
    <row r="216" spans="1:40" s="447" customFormat="1" ht="15" customHeight="1" thickBot="1" x14ac:dyDescent="0.25">
      <c r="A216" s="403"/>
      <c r="B216" s="401" t="s">
        <v>349</v>
      </c>
      <c r="C216" s="721"/>
      <c r="D216" s="721"/>
      <c r="E216" s="721"/>
      <c r="F216" s="721"/>
      <c r="G216" s="721"/>
      <c r="H216" s="721"/>
      <c r="I216" s="789"/>
      <c r="J216" s="789"/>
      <c r="K216" s="789"/>
      <c r="L216" s="791"/>
      <c r="M216" s="789">
        <f>SUM('6. sz.melléklet'!M102)</f>
        <v>0</v>
      </c>
      <c r="N216" s="782">
        <f>SUM(C216:M216)</f>
        <v>0</v>
      </c>
      <c r="O216" s="449"/>
      <c r="P216" s="406"/>
      <c r="Q216" s="406"/>
      <c r="R216" s="406"/>
      <c r="S216" s="406"/>
      <c r="T216" s="406"/>
      <c r="U216" s="406"/>
      <c r="V216" s="406"/>
      <c r="W216" s="406"/>
      <c r="X216" s="406"/>
      <c r="Y216" s="406"/>
      <c r="Z216" s="406"/>
      <c r="AA216" s="406"/>
      <c r="AB216" s="406"/>
      <c r="AC216" s="406"/>
      <c r="AD216" s="406"/>
      <c r="AE216" s="406"/>
      <c r="AF216" s="406"/>
      <c r="AG216" s="406"/>
      <c r="AH216" s="406"/>
      <c r="AI216" s="406"/>
      <c r="AJ216" s="406"/>
      <c r="AK216" s="406"/>
      <c r="AL216" s="406"/>
      <c r="AM216" s="406"/>
      <c r="AN216" s="406"/>
    </row>
    <row r="217" spans="1:40" ht="15" customHeight="1" thickBot="1" x14ac:dyDescent="0.25">
      <c r="A217" s="446"/>
      <c r="B217" s="445" t="s">
        <v>350</v>
      </c>
      <c r="C217" s="736"/>
      <c r="D217" s="736"/>
      <c r="E217" s="736"/>
      <c r="F217" s="736"/>
      <c r="G217" s="736"/>
      <c r="H217" s="736"/>
      <c r="I217" s="794"/>
      <c r="J217" s="794"/>
      <c r="K217" s="794"/>
      <c r="L217" s="795"/>
      <c r="M217" s="794">
        <f>SUM('6. sz.melléklet'!M103)</f>
        <v>65995335</v>
      </c>
      <c r="N217" s="796">
        <f>SUM(C217:M217)</f>
        <v>65995335</v>
      </c>
      <c r="O217" s="449"/>
      <c r="P217" s="406"/>
      <c r="Q217" s="406"/>
      <c r="R217" s="406"/>
      <c r="S217" s="406"/>
      <c r="T217" s="406"/>
    </row>
    <row r="218" spans="1:40" ht="15" customHeight="1" thickBot="1" x14ac:dyDescent="0.25">
      <c r="A218" s="547"/>
      <c r="B218" s="548" t="s">
        <v>92</v>
      </c>
      <c r="C218" s="797"/>
      <c r="D218" s="797"/>
      <c r="E218" s="797"/>
      <c r="F218" s="797"/>
      <c r="G218" s="797"/>
      <c r="H218" s="797"/>
      <c r="I218" s="797"/>
      <c r="J218" s="797"/>
      <c r="K218" s="797"/>
      <c r="L218" s="798"/>
      <c r="M218" s="797"/>
      <c r="N218" s="799"/>
      <c r="O218" s="516"/>
      <c r="P218" s="549"/>
      <c r="Q218" s="406"/>
      <c r="R218" s="406"/>
      <c r="S218" s="406"/>
      <c r="T218" s="406"/>
    </row>
    <row r="219" spans="1:40" ht="15" customHeight="1" thickBot="1" x14ac:dyDescent="0.25">
      <c r="A219" s="550"/>
      <c r="B219" s="551" t="s">
        <v>349</v>
      </c>
      <c r="C219" s="797">
        <f t="shared" ref="C219:N219" si="8">C111+C120+C123+C126+C129+C132+C135+C138+C141+C144+C147+C150+C153+C156+C162+C168+C171+C174+C177+C180+C183+C186+C189+C192+C201+C204+C207+C210+C213+C216+C198+C165+C117+C114+C195</f>
        <v>241221000</v>
      </c>
      <c r="D219" s="797">
        <f t="shared" si="8"/>
        <v>45418000</v>
      </c>
      <c r="E219" s="797">
        <f t="shared" si="8"/>
        <v>300636483</v>
      </c>
      <c r="F219" s="797">
        <f t="shared" si="8"/>
        <v>23896000</v>
      </c>
      <c r="G219" s="797">
        <f t="shared" si="8"/>
        <v>238086912</v>
      </c>
      <c r="H219" s="797">
        <f t="shared" si="8"/>
        <v>754198714</v>
      </c>
      <c r="I219" s="797">
        <f t="shared" si="8"/>
        <v>141799607</v>
      </c>
      <c r="J219" s="797">
        <f t="shared" si="8"/>
        <v>23080050</v>
      </c>
      <c r="K219" s="797">
        <f t="shared" si="8"/>
        <v>54155707.555555582</v>
      </c>
      <c r="L219" s="797">
        <f t="shared" si="8"/>
        <v>26500000</v>
      </c>
      <c r="M219" s="797">
        <f t="shared" si="8"/>
        <v>5398843</v>
      </c>
      <c r="N219" s="797">
        <f t="shared" si="8"/>
        <v>1854391316.5555556</v>
      </c>
      <c r="O219" s="516"/>
      <c r="P219" s="549"/>
      <c r="Q219" s="406"/>
      <c r="R219" s="406"/>
      <c r="S219" s="406"/>
      <c r="T219" s="406"/>
    </row>
    <row r="220" spans="1:40" ht="15" customHeight="1" thickBot="1" x14ac:dyDescent="0.25">
      <c r="A220" s="550"/>
      <c r="B220" s="551" t="s">
        <v>350</v>
      </c>
      <c r="C220" s="797">
        <f>C112+C115+C118+C121+C124+C127+C130+C133+C136+C139+C142+C145+C148+C151+C154+C157+C163+C166+C169+C172+C175+C178+C181+C184+C187+C190+C193+C196+C199+C202+C205+C208+C211+C214+C217+C160</f>
        <v>257376714</v>
      </c>
      <c r="D220" s="797">
        <f t="shared" ref="D220:M220" si="9">D112+D115+D118+D121+D124+D127+D130+D133+D136+D139+D142+D145+D148+D151+D154+D157+D163+D166+D169+D172+D175+D178+D181+D184+D187+D190+D193+D196+D199+D202+D205+D208+D211+D214+D217+D160</f>
        <v>50183791</v>
      </c>
      <c r="E220" s="797">
        <f t="shared" si="9"/>
        <v>380902501</v>
      </c>
      <c r="F220" s="797">
        <f t="shared" si="9"/>
        <v>23896000</v>
      </c>
      <c r="G220" s="797">
        <f t="shared" si="9"/>
        <v>238086912</v>
      </c>
      <c r="H220" s="797">
        <f t="shared" si="9"/>
        <v>678052738</v>
      </c>
      <c r="I220" s="797">
        <f t="shared" si="9"/>
        <v>141799607</v>
      </c>
      <c r="J220" s="797">
        <f t="shared" si="9"/>
        <v>23080050</v>
      </c>
      <c r="K220" s="797">
        <f t="shared" si="9"/>
        <v>21334155</v>
      </c>
      <c r="L220" s="797">
        <f t="shared" si="9"/>
        <v>3571800</v>
      </c>
      <c r="M220" s="797">
        <f t="shared" si="9"/>
        <v>98577047</v>
      </c>
      <c r="N220" s="797">
        <f>N112+N115+N118+N121+N124+N127+N130+N133+N136+N139+N142+N145+N148+N151+N154+N157+N163+N166+N169+N172+N175+N178+N181+N184+N187+N190+N193+N196+N199+N202+N205+N208+N211+N214+N217+N160</f>
        <v>1916861315</v>
      </c>
      <c r="O220" s="516"/>
      <c r="P220" s="549"/>
      <c r="Q220" s="406"/>
      <c r="R220" s="406"/>
      <c r="S220" s="406"/>
      <c r="T220" s="406"/>
    </row>
    <row r="221" spans="1:40" ht="15" customHeight="1" thickBot="1" x14ac:dyDescent="0.25">
      <c r="A221" s="550"/>
      <c r="B221" s="551"/>
      <c r="C221" s="797"/>
      <c r="D221" s="797"/>
      <c r="E221" s="797"/>
      <c r="F221" s="797"/>
      <c r="G221" s="797"/>
      <c r="H221" s="797"/>
      <c r="I221" s="797"/>
      <c r="J221" s="797"/>
      <c r="K221" s="797"/>
      <c r="L221" s="798"/>
      <c r="M221" s="797"/>
      <c r="N221" s="798"/>
      <c r="O221" s="516"/>
      <c r="P221" s="549"/>
      <c r="Q221" s="406"/>
      <c r="R221" s="406"/>
      <c r="S221" s="406"/>
      <c r="T221" s="406"/>
    </row>
    <row r="222" spans="1:40" ht="15" customHeight="1" thickBot="1" x14ac:dyDescent="0.25">
      <c r="A222" s="550"/>
      <c r="B222" s="551"/>
      <c r="C222" s="797"/>
      <c r="D222" s="797"/>
      <c r="E222" s="797"/>
      <c r="F222" s="797"/>
      <c r="G222" s="797"/>
      <c r="H222" s="797"/>
      <c r="I222" s="797"/>
      <c r="J222" s="797"/>
      <c r="K222" s="797"/>
      <c r="L222" s="798"/>
      <c r="M222" s="797"/>
      <c r="N222" s="798"/>
      <c r="O222" s="516"/>
      <c r="P222" s="549"/>
      <c r="Q222" s="406"/>
      <c r="R222" s="406"/>
      <c r="S222" s="406"/>
      <c r="T222" s="406"/>
    </row>
    <row r="223" spans="1:40" ht="15" customHeight="1" x14ac:dyDescent="0.2">
      <c r="A223" s="2014" t="s">
        <v>341</v>
      </c>
      <c r="B223" s="2015"/>
      <c r="C223" s="800"/>
      <c r="D223" s="800"/>
      <c r="E223" s="800"/>
      <c r="F223" s="800"/>
      <c r="G223" s="800"/>
      <c r="H223" s="800"/>
      <c r="I223" s="800"/>
      <c r="J223" s="800"/>
      <c r="K223" s="800"/>
      <c r="L223" s="801"/>
      <c r="M223" s="802"/>
      <c r="N223" s="803"/>
      <c r="O223" s="516"/>
      <c r="P223" s="549"/>
      <c r="Q223" s="406"/>
      <c r="R223" s="406"/>
      <c r="S223" s="406"/>
      <c r="T223" s="406"/>
    </row>
    <row r="224" spans="1:40" ht="15" customHeight="1" x14ac:dyDescent="0.2">
      <c r="A224" s="473" t="s">
        <v>225</v>
      </c>
      <c r="B224" s="552" t="s">
        <v>2</v>
      </c>
      <c r="C224" s="751"/>
      <c r="D224" s="751"/>
      <c r="E224" s="751"/>
      <c r="F224" s="751"/>
      <c r="G224" s="751"/>
      <c r="H224" s="752"/>
      <c r="I224" s="752"/>
      <c r="J224" s="752"/>
      <c r="K224" s="752"/>
      <c r="L224" s="753"/>
      <c r="M224" s="804"/>
      <c r="N224" s="805"/>
      <c r="O224" s="449"/>
      <c r="P224" s="406"/>
      <c r="Q224" s="406"/>
      <c r="R224" s="406"/>
      <c r="S224" s="406"/>
      <c r="T224" s="406"/>
    </row>
    <row r="225" spans="1:40" ht="15" customHeight="1" x14ac:dyDescent="0.2">
      <c r="A225" s="494"/>
      <c r="B225" s="472" t="s">
        <v>349</v>
      </c>
      <c r="C225" s="751">
        <f>SUM('13.sz.melléklet'!C7)</f>
        <v>81590000</v>
      </c>
      <c r="D225" s="751">
        <f>SUM('13.sz.melléklet'!D7)</f>
        <v>16174000</v>
      </c>
      <c r="E225" s="751">
        <f>SUM('13.sz.melléklet'!E7)</f>
        <v>32698000</v>
      </c>
      <c r="F225" s="751"/>
      <c r="G225" s="751">
        <f>'13.sz.melléklet'!G16</f>
        <v>0</v>
      </c>
      <c r="H225" s="752">
        <f>SUM('13.sz.melléklet'!F7)</f>
        <v>5700000</v>
      </c>
      <c r="I225" s="752"/>
      <c r="J225" s="752"/>
      <c r="K225" s="752"/>
      <c r="L225" s="753"/>
      <c r="M225" s="752"/>
      <c r="N225" s="806">
        <f>SUM(C225:M225)</f>
        <v>136162000</v>
      </c>
      <c r="O225" s="449"/>
      <c r="P225" s="406"/>
      <c r="Q225" s="406"/>
      <c r="R225" s="406"/>
      <c r="S225" s="406"/>
      <c r="T225" s="406"/>
    </row>
    <row r="226" spans="1:40" ht="15" customHeight="1" thickBot="1" x14ac:dyDescent="0.25">
      <c r="A226" s="404"/>
      <c r="B226" s="402" t="s">
        <v>350</v>
      </c>
      <c r="C226" s="723">
        <f>'13.sz.melléklet'!C8</f>
        <v>87220500</v>
      </c>
      <c r="D226" s="723">
        <f>'13.sz.melléklet'!D8</f>
        <v>17145000</v>
      </c>
      <c r="E226" s="723">
        <f>'13.sz.melléklet'!E8</f>
        <v>32698000</v>
      </c>
      <c r="F226" s="723"/>
      <c r="G226" s="723">
        <f>SUM('13.sz.melléklet'!G45)</f>
        <v>0</v>
      </c>
      <c r="H226" s="755">
        <f>SUM('13.sz.melléklet'!F45)</f>
        <v>5700000</v>
      </c>
      <c r="I226" s="755"/>
      <c r="J226" s="755"/>
      <c r="K226" s="755"/>
      <c r="L226" s="756"/>
      <c r="M226" s="755"/>
      <c r="N226" s="779">
        <f>SUM(C226:M226)</f>
        <v>142763500</v>
      </c>
      <c r="O226" s="449"/>
      <c r="P226" s="406"/>
      <c r="Q226" s="406"/>
      <c r="R226" s="406"/>
      <c r="S226" s="406"/>
      <c r="T226" s="406"/>
    </row>
    <row r="227" spans="1:40" ht="15" customHeight="1" thickBot="1" x14ac:dyDescent="0.25">
      <c r="A227" s="2026" t="s">
        <v>352</v>
      </c>
      <c r="B227" s="2027"/>
      <c r="C227" s="807"/>
      <c r="D227" s="807"/>
      <c r="E227" s="807"/>
      <c r="F227" s="807"/>
      <c r="G227" s="807"/>
      <c r="H227" s="807"/>
      <c r="I227" s="807"/>
      <c r="J227" s="807"/>
      <c r="K227" s="807"/>
      <c r="L227" s="808"/>
      <c r="M227" s="807"/>
      <c r="N227" s="809"/>
      <c r="O227" s="449"/>
      <c r="P227" s="553"/>
      <c r="Q227" s="406"/>
      <c r="R227" s="406"/>
      <c r="S227" s="406"/>
      <c r="T227" s="406"/>
    </row>
    <row r="228" spans="1:40" ht="15" customHeight="1" thickBot="1" x14ac:dyDescent="0.25">
      <c r="A228" s="616"/>
      <c r="B228" s="617" t="s">
        <v>349</v>
      </c>
      <c r="C228" s="810">
        <f t="shared" ref="C228:E229" si="10">C225</f>
        <v>81590000</v>
      </c>
      <c r="D228" s="810">
        <f t="shared" si="10"/>
        <v>16174000</v>
      </c>
      <c r="E228" s="810">
        <f t="shared" si="10"/>
        <v>32698000</v>
      </c>
      <c r="F228" s="810"/>
      <c r="G228" s="810">
        <f>SUM(G225)</f>
        <v>0</v>
      </c>
      <c r="H228" s="810">
        <f>SUM(H225)</f>
        <v>5700000</v>
      </c>
      <c r="I228" s="810"/>
      <c r="J228" s="810"/>
      <c r="K228" s="810"/>
      <c r="L228" s="810"/>
      <c r="M228" s="810"/>
      <c r="N228" s="811">
        <f>N225</f>
        <v>136162000</v>
      </c>
      <c r="O228" s="520"/>
      <c r="P228" s="553"/>
      <c r="Q228" s="406"/>
      <c r="R228" s="406"/>
      <c r="S228" s="406"/>
      <c r="T228" s="406"/>
    </row>
    <row r="229" spans="1:40" ht="15" customHeight="1" thickBot="1" x14ac:dyDescent="0.25">
      <c r="A229" s="614"/>
      <c r="B229" s="615" t="s">
        <v>350</v>
      </c>
      <c r="C229" s="812">
        <f t="shared" si="10"/>
        <v>87220500</v>
      </c>
      <c r="D229" s="812">
        <f t="shared" si="10"/>
        <v>17145000</v>
      </c>
      <c r="E229" s="812">
        <f t="shared" si="10"/>
        <v>32698000</v>
      </c>
      <c r="F229" s="812"/>
      <c r="G229" s="812">
        <f>SUM(G226)</f>
        <v>0</v>
      </c>
      <c r="H229" s="812">
        <f>SUM(H226)</f>
        <v>5700000</v>
      </c>
      <c r="I229" s="812"/>
      <c r="J229" s="812"/>
      <c r="K229" s="812"/>
      <c r="L229" s="812"/>
      <c r="M229" s="812"/>
      <c r="N229" s="813">
        <f>N226</f>
        <v>142763500</v>
      </c>
      <c r="O229" s="449"/>
      <c r="P229" s="553"/>
      <c r="Q229" s="406"/>
      <c r="R229" s="406"/>
      <c r="S229" s="406"/>
      <c r="T229" s="406"/>
    </row>
    <row r="230" spans="1:40" ht="15" customHeight="1" thickBot="1" x14ac:dyDescent="0.25">
      <c r="A230" s="554"/>
      <c r="B230" s="402"/>
      <c r="C230" s="814"/>
      <c r="D230" s="814"/>
      <c r="E230" s="814"/>
      <c r="F230" s="814"/>
      <c r="G230" s="814"/>
      <c r="H230" s="814"/>
      <c r="I230" s="814"/>
      <c r="J230" s="814"/>
      <c r="K230" s="814"/>
      <c r="L230" s="814"/>
      <c r="M230" s="814"/>
      <c r="N230" s="815"/>
      <c r="O230" s="449"/>
      <c r="P230" s="553"/>
      <c r="Q230" s="406"/>
      <c r="R230" s="406"/>
      <c r="S230" s="406"/>
      <c r="T230" s="406"/>
    </row>
    <row r="231" spans="1:40" ht="15" customHeight="1" x14ac:dyDescent="0.2">
      <c r="A231" s="555"/>
      <c r="B231" s="445"/>
      <c r="C231" s="736"/>
      <c r="D231" s="736"/>
      <c r="E231" s="736"/>
      <c r="F231" s="736"/>
      <c r="G231" s="736"/>
      <c r="H231" s="736"/>
      <c r="I231" s="736"/>
      <c r="J231" s="736"/>
      <c r="K231" s="736"/>
      <c r="L231" s="795"/>
      <c r="M231" s="816"/>
      <c r="N231" s="803"/>
      <c r="O231" s="528"/>
      <c r="P231" s="556"/>
    </row>
    <row r="232" spans="1:40" ht="15" customHeight="1" thickBot="1" x14ac:dyDescent="0.25">
      <c r="A232" s="2018" t="s">
        <v>177</v>
      </c>
      <c r="B232" s="2019"/>
      <c r="C232" s="751"/>
      <c r="D232" s="751"/>
      <c r="E232" s="751"/>
      <c r="F232" s="751"/>
      <c r="G232" s="751"/>
      <c r="H232" s="751"/>
      <c r="I232" s="751"/>
      <c r="J232" s="751"/>
      <c r="K232" s="751"/>
      <c r="L232" s="817"/>
      <c r="M232" s="790"/>
      <c r="N232" s="818"/>
      <c r="O232" s="528"/>
      <c r="P232" s="556"/>
    </row>
    <row r="233" spans="1:40" ht="15" customHeight="1" x14ac:dyDescent="0.2">
      <c r="A233" s="429" t="s">
        <v>235</v>
      </c>
      <c r="B233" s="430" t="s">
        <v>236</v>
      </c>
      <c r="C233" s="762"/>
      <c r="D233" s="762"/>
      <c r="E233" s="762"/>
      <c r="F233" s="729"/>
      <c r="G233" s="729"/>
      <c r="H233" s="729"/>
      <c r="I233" s="729"/>
      <c r="J233" s="729"/>
      <c r="K233" s="729"/>
      <c r="L233" s="819"/>
      <c r="M233" s="794"/>
      <c r="N233" s="796"/>
      <c r="O233" s="528"/>
      <c r="P233" s="556"/>
    </row>
    <row r="234" spans="1:40" s="447" customFormat="1" ht="15" customHeight="1" thickBot="1" x14ac:dyDescent="0.25">
      <c r="A234" s="400"/>
      <c r="B234" s="401" t="s">
        <v>349</v>
      </c>
      <c r="C234" s="820">
        <f>SUM('16.sz. melléklet'!C7)</f>
        <v>0</v>
      </c>
      <c r="D234" s="820">
        <f>SUM('16.sz. melléklet'!D7)</f>
        <v>0</v>
      </c>
      <c r="E234" s="820">
        <f>SUM('16.sz. melléklet'!E7)</f>
        <v>0</v>
      </c>
      <c r="F234" s="1211"/>
      <c r="G234" s="1211"/>
      <c r="H234" s="1212">
        <f>SUM('16.sz. melléklet'!F7)</f>
        <v>0</v>
      </c>
      <c r="I234" s="721"/>
      <c r="J234" s="721"/>
      <c r="K234" s="721"/>
      <c r="L234" s="791"/>
      <c r="M234" s="789"/>
      <c r="N234" s="782">
        <f>SUM(C234:M234)</f>
        <v>0</v>
      </c>
      <c r="O234" s="528"/>
      <c r="P234" s="556"/>
      <c r="Q234" s="500"/>
      <c r="R234" s="500"/>
      <c r="S234" s="500"/>
      <c r="T234" s="500"/>
      <c r="U234" s="406"/>
      <c r="V234" s="406"/>
      <c r="W234" s="406"/>
      <c r="X234" s="406"/>
      <c r="Y234" s="406"/>
      <c r="Z234" s="406"/>
      <c r="AA234" s="406"/>
      <c r="AB234" s="406"/>
      <c r="AC234" s="406"/>
      <c r="AD234" s="406"/>
      <c r="AE234" s="406"/>
      <c r="AF234" s="406"/>
      <c r="AG234" s="406"/>
      <c r="AH234" s="406"/>
      <c r="AI234" s="406"/>
      <c r="AJ234" s="406"/>
      <c r="AK234" s="406"/>
      <c r="AL234" s="406"/>
      <c r="AM234" s="406"/>
      <c r="AN234" s="406"/>
    </row>
    <row r="235" spans="1:40" ht="15" customHeight="1" thickBot="1" x14ac:dyDescent="0.25">
      <c r="A235" s="1442"/>
      <c r="B235" s="402" t="s">
        <v>350</v>
      </c>
      <c r="C235" s="1479">
        <f>SUM('16.sz. melléklet'!C8)</f>
        <v>0</v>
      </c>
      <c r="D235" s="1479">
        <f>SUM('16.sz. melléklet'!D8)</f>
        <v>0</v>
      </c>
      <c r="E235" s="1479">
        <f>SUM('16.sz. melléklet'!E8)</f>
        <v>0</v>
      </c>
      <c r="F235" s="1480"/>
      <c r="G235" s="1480"/>
      <c r="H235" s="1481">
        <f>SUM('16.sz. melléklet'!F8)</f>
        <v>0</v>
      </c>
      <c r="I235" s="723"/>
      <c r="J235" s="723"/>
      <c r="K235" s="723"/>
      <c r="L235" s="792"/>
      <c r="M235" s="790"/>
      <c r="N235" s="779">
        <f>SUM(C235:M235)</f>
        <v>0</v>
      </c>
      <c r="O235" s="528"/>
      <c r="P235" s="556"/>
    </row>
    <row r="236" spans="1:40" ht="15" customHeight="1" x14ac:dyDescent="0.2">
      <c r="A236" s="1200" t="s">
        <v>243</v>
      </c>
      <c r="B236" s="1213" t="s">
        <v>244</v>
      </c>
      <c r="C236" s="1201"/>
      <c r="D236" s="1201"/>
      <c r="E236" s="1201"/>
      <c r="F236" s="1201"/>
      <c r="G236" s="1201"/>
      <c r="H236" s="1201"/>
      <c r="I236" s="1201"/>
      <c r="J236" s="1201"/>
      <c r="K236" s="1201"/>
      <c r="L236" s="1202"/>
      <c r="M236" s="1201"/>
      <c r="N236" s="796"/>
      <c r="O236" s="449"/>
      <c r="P236" s="406"/>
      <c r="Q236" s="406"/>
      <c r="R236" s="406"/>
      <c r="S236" s="406"/>
      <c r="T236" s="406"/>
    </row>
    <row r="237" spans="1:40" s="447" customFormat="1" ht="15" customHeight="1" thickBot="1" x14ac:dyDescent="0.25">
      <c r="A237" s="433"/>
      <c r="B237" s="401" t="s">
        <v>349</v>
      </c>
      <c r="C237" s="780"/>
      <c r="D237" s="780"/>
      <c r="E237" s="780"/>
      <c r="F237" s="780"/>
      <c r="G237" s="780"/>
      <c r="H237" s="780"/>
      <c r="I237" s="780">
        <f>SUM('6. sz.melléklet'!I21)</f>
        <v>360000</v>
      </c>
      <c r="J237" s="780"/>
      <c r="K237" s="780"/>
      <c r="L237" s="781"/>
      <c r="M237" s="780"/>
      <c r="N237" s="782">
        <f>SUM(C237:M237)</f>
        <v>360000</v>
      </c>
      <c r="O237" s="449"/>
      <c r="P237" s="406"/>
      <c r="Q237" s="406"/>
      <c r="R237" s="406"/>
      <c r="S237" s="406"/>
      <c r="T237" s="406"/>
      <c r="U237" s="406"/>
      <c r="V237" s="406"/>
      <c r="W237" s="406"/>
      <c r="X237" s="406"/>
      <c r="Y237" s="406"/>
      <c r="Z237" s="406"/>
      <c r="AA237" s="406"/>
      <c r="AB237" s="406"/>
      <c r="AC237" s="406"/>
      <c r="AD237" s="406"/>
      <c r="AE237" s="406"/>
      <c r="AF237" s="406"/>
      <c r="AG237" s="406"/>
      <c r="AH237" s="406"/>
      <c r="AI237" s="406"/>
      <c r="AJ237" s="406"/>
      <c r="AK237" s="406"/>
      <c r="AL237" s="406"/>
      <c r="AM237" s="406"/>
      <c r="AN237" s="406"/>
    </row>
    <row r="238" spans="1:40" ht="15" customHeight="1" thickBot="1" x14ac:dyDescent="0.25">
      <c r="A238" s="1468"/>
      <c r="B238" s="1450" t="s">
        <v>350</v>
      </c>
      <c r="C238" s="1469">
        <f>SUM('6. sz.melléklet'!C22)</f>
        <v>0</v>
      </c>
      <c r="D238" s="1469">
        <f>SUM('6. sz.melléklet'!D22)</f>
        <v>0</v>
      </c>
      <c r="E238" s="1469">
        <f>SUM('6. sz.melléklet'!E22)</f>
        <v>0</v>
      </c>
      <c r="F238" s="1469"/>
      <c r="G238" s="1469"/>
      <c r="H238" s="1469"/>
      <c r="I238" s="1469">
        <f>SUM('6. sz.melléklet'!I22)</f>
        <v>360000</v>
      </c>
      <c r="J238" s="1469"/>
      <c r="K238" s="1469"/>
      <c r="L238" s="1470"/>
      <c r="M238" s="1469"/>
      <c r="N238" s="1471">
        <f>SUM(C238:M238)</f>
        <v>360000</v>
      </c>
      <c r="O238" s="449"/>
      <c r="P238" s="406"/>
      <c r="Q238" s="406"/>
      <c r="R238" s="406"/>
      <c r="S238" s="406"/>
      <c r="T238" s="406"/>
    </row>
    <row r="239" spans="1:40" ht="15" customHeight="1" x14ac:dyDescent="0.2">
      <c r="A239" s="511" t="s">
        <v>237</v>
      </c>
      <c r="B239" s="1216" t="s">
        <v>238</v>
      </c>
      <c r="C239" s="1179"/>
      <c r="D239" s="1179"/>
      <c r="E239" s="1179"/>
      <c r="F239" s="1201"/>
      <c r="G239" s="1201"/>
      <c r="H239" s="1201"/>
      <c r="I239" s="1201"/>
      <c r="J239" s="1201"/>
      <c r="K239" s="1201"/>
      <c r="L239" s="1202"/>
      <c r="M239" s="1201"/>
      <c r="N239" s="796"/>
      <c r="O239" s="449"/>
      <c r="P239" s="406"/>
      <c r="Q239" s="406"/>
      <c r="R239" s="406"/>
      <c r="S239" s="406"/>
      <c r="T239" s="406"/>
    </row>
    <row r="240" spans="1:40" s="447" customFormat="1" ht="15" customHeight="1" thickBot="1" x14ac:dyDescent="0.25">
      <c r="A240" s="400"/>
      <c r="B240" s="401" t="s">
        <v>349</v>
      </c>
      <c r="C240" s="820">
        <f>SUM('16.sz. melléklet'!C10)</f>
        <v>6070000</v>
      </c>
      <c r="D240" s="820">
        <f>SUM('16.sz. melléklet'!D10)</f>
        <v>533000</v>
      </c>
      <c r="E240" s="820">
        <f>SUM('16.sz. melléklet'!E10)</f>
        <v>26000</v>
      </c>
      <c r="F240" s="780"/>
      <c r="G240" s="780"/>
      <c r="H240" s="780"/>
      <c r="I240" s="780"/>
      <c r="J240" s="780"/>
      <c r="K240" s="780"/>
      <c r="L240" s="781"/>
      <c r="M240" s="780"/>
      <c r="N240" s="782">
        <f>SUM(C240:M240)</f>
        <v>6629000</v>
      </c>
      <c r="O240" s="449"/>
      <c r="P240" s="406"/>
      <c r="Q240" s="406"/>
      <c r="R240" s="406"/>
      <c r="S240" s="406"/>
      <c r="T240" s="406"/>
      <c r="U240" s="406"/>
      <c r="V240" s="406"/>
      <c r="W240" s="406"/>
      <c r="X240" s="406"/>
      <c r="Y240" s="406"/>
      <c r="Z240" s="406"/>
      <c r="AA240" s="406"/>
      <c r="AB240" s="406"/>
      <c r="AC240" s="406"/>
      <c r="AD240" s="406"/>
      <c r="AE240" s="406"/>
      <c r="AF240" s="406"/>
      <c r="AG240" s="406"/>
      <c r="AH240" s="406"/>
      <c r="AI240" s="406"/>
      <c r="AJ240" s="406"/>
      <c r="AK240" s="406"/>
      <c r="AL240" s="406"/>
      <c r="AM240" s="406"/>
      <c r="AN240" s="406"/>
    </row>
    <row r="241" spans="1:40" ht="15" customHeight="1" thickBot="1" x14ac:dyDescent="0.25">
      <c r="A241" s="1449"/>
      <c r="B241" s="1450" t="s">
        <v>350</v>
      </c>
      <c r="C241" s="1453">
        <f>SUM('16.sz. melléklet'!C11)</f>
        <v>6070000</v>
      </c>
      <c r="D241" s="1453">
        <f>SUM('16.sz. melléklet'!D11)</f>
        <v>533000</v>
      </c>
      <c r="E241" s="1479">
        <f>SUM('16.sz. melléklet'!E11)</f>
        <v>26000</v>
      </c>
      <c r="F241" s="1469"/>
      <c r="G241" s="1469"/>
      <c r="H241" s="1469"/>
      <c r="I241" s="1469"/>
      <c r="J241" s="1469"/>
      <c r="K241" s="1469"/>
      <c r="L241" s="1470"/>
      <c r="M241" s="1469"/>
      <c r="N241" s="1471">
        <f>SUM(C241:M241)</f>
        <v>6629000</v>
      </c>
      <c r="O241" s="449"/>
      <c r="P241" s="406"/>
      <c r="Q241" s="406"/>
      <c r="R241" s="406"/>
      <c r="S241" s="406"/>
      <c r="T241" s="406"/>
    </row>
    <row r="242" spans="1:40" ht="15" customHeight="1" x14ac:dyDescent="0.2">
      <c r="A242" s="1200" t="s">
        <v>245</v>
      </c>
      <c r="B242" s="1213" t="s">
        <v>246</v>
      </c>
      <c r="C242" s="1201"/>
      <c r="D242" s="1201"/>
      <c r="E242" s="1201"/>
      <c r="F242" s="1201"/>
      <c r="G242" s="1201"/>
      <c r="H242" s="1201"/>
      <c r="I242" s="1201"/>
      <c r="J242" s="1201"/>
      <c r="K242" s="1201"/>
      <c r="L242" s="1202"/>
      <c r="M242" s="1201"/>
      <c r="N242" s="796"/>
      <c r="O242" s="449"/>
      <c r="P242" s="406"/>
      <c r="Q242" s="406"/>
      <c r="R242" s="406"/>
      <c r="S242" s="406"/>
      <c r="T242" s="406"/>
    </row>
    <row r="243" spans="1:40" s="447" customFormat="1" ht="15" customHeight="1" thickBot="1" x14ac:dyDescent="0.25">
      <c r="A243" s="433"/>
      <c r="B243" s="401" t="s">
        <v>349</v>
      </c>
      <c r="C243" s="780">
        <f>SUM('6. sz.melléklet'!C24)</f>
        <v>11446000</v>
      </c>
      <c r="D243" s="780">
        <f>SUM('6. sz.melléklet'!D24)</f>
        <v>2144000</v>
      </c>
      <c r="E243" s="780">
        <f>SUM('6. sz.melléklet'!E24)</f>
        <v>7546000</v>
      </c>
      <c r="F243" s="780"/>
      <c r="G243" s="780"/>
      <c r="H243" s="780"/>
      <c r="I243" s="780"/>
      <c r="J243" s="780"/>
      <c r="K243" s="780"/>
      <c r="L243" s="781"/>
      <c r="M243" s="780"/>
      <c r="N243" s="782">
        <f>SUM(C243:M243)</f>
        <v>21136000</v>
      </c>
      <c r="O243" s="449"/>
      <c r="P243" s="406"/>
      <c r="Q243" s="406"/>
      <c r="R243" s="406"/>
      <c r="S243" s="406"/>
      <c r="T243" s="406"/>
      <c r="U243" s="406"/>
      <c r="V243" s="406"/>
      <c r="W243" s="406"/>
      <c r="X243" s="406"/>
      <c r="Y243" s="406"/>
      <c r="Z243" s="406"/>
      <c r="AA243" s="406"/>
      <c r="AB243" s="406"/>
      <c r="AC243" s="406"/>
      <c r="AD243" s="406"/>
      <c r="AE243" s="406"/>
      <c r="AF243" s="406"/>
      <c r="AG243" s="406"/>
      <c r="AH243" s="406"/>
      <c r="AI243" s="406"/>
      <c r="AJ243" s="406"/>
      <c r="AK243" s="406"/>
      <c r="AL243" s="406"/>
      <c r="AM243" s="406"/>
      <c r="AN243" s="406"/>
    </row>
    <row r="244" spans="1:40" ht="15" customHeight="1" thickBot="1" x14ac:dyDescent="0.25">
      <c r="A244" s="1468"/>
      <c r="B244" s="1450" t="s">
        <v>350</v>
      </c>
      <c r="C244" s="1469">
        <f>SUM('6. sz.melléklet'!C25)</f>
        <v>12204400</v>
      </c>
      <c r="D244" s="1469">
        <f>SUM('6. sz.melléklet'!D25)</f>
        <v>2277000</v>
      </c>
      <c r="E244" s="1469">
        <f>SUM('6. sz.melléklet'!E25)</f>
        <v>7546000</v>
      </c>
      <c r="F244" s="1469"/>
      <c r="G244" s="1469"/>
      <c r="H244" s="1469"/>
      <c r="I244" s="1469"/>
      <c r="J244" s="1469"/>
      <c r="K244" s="1469"/>
      <c r="L244" s="1470"/>
      <c r="M244" s="1469"/>
      <c r="N244" s="1471">
        <f>SUM(C244:M244)</f>
        <v>22027400</v>
      </c>
      <c r="O244" s="449"/>
      <c r="P244" s="406"/>
      <c r="Q244" s="406"/>
      <c r="R244" s="406"/>
      <c r="S244" s="406"/>
      <c r="T244" s="406"/>
    </row>
    <row r="245" spans="1:40" ht="15" customHeight="1" x14ac:dyDescent="0.2">
      <c r="A245" s="1200" t="s">
        <v>268</v>
      </c>
      <c r="B245" s="1213" t="s">
        <v>269</v>
      </c>
      <c r="C245" s="1201"/>
      <c r="D245" s="1201"/>
      <c r="E245" s="1201"/>
      <c r="F245" s="1201"/>
      <c r="G245" s="1201"/>
      <c r="H245" s="1201"/>
      <c r="I245" s="1201"/>
      <c r="J245" s="1201"/>
      <c r="K245" s="1201"/>
      <c r="L245" s="1202"/>
      <c r="M245" s="1201"/>
      <c r="N245" s="796"/>
      <c r="O245" s="449"/>
      <c r="P245" s="406"/>
      <c r="Q245" s="406"/>
      <c r="R245" s="406"/>
      <c r="S245" s="406"/>
      <c r="T245" s="406"/>
    </row>
    <row r="246" spans="1:40" s="447" customFormat="1" ht="15" customHeight="1" thickBot="1" x14ac:dyDescent="0.25">
      <c r="A246" s="433"/>
      <c r="B246" s="401" t="s">
        <v>349</v>
      </c>
      <c r="C246" s="780"/>
      <c r="D246" s="780"/>
      <c r="E246" s="780">
        <f>SUM('6. sz.melléklet'!E27)</f>
        <v>4572000</v>
      </c>
      <c r="F246" s="780"/>
      <c r="G246" s="780"/>
      <c r="H246" s="780"/>
      <c r="I246" s="780"/>
      <c r="J246" s="780"/>
      <c r="K246" s="780"/>
      <c r="L246" s="781"/>
      <c r="M246" s="780"/>
      <c r="N246" s="782">
        <f>SUM(C246:M246)</f>
        <v>4572000</v>
      </c>
      <c r="O246" s="449"/>
      <c r="P246" s="406"/>
      <c r="Q246" s="406"/>
      <c r="R246" s="406"/>
      <c r="S246" s="406"/>
      <c r="T246" s="406"/>
      <c r="U246" s="406"/>
      <c r="V246" s="406"/>
      <c r="W246" s="406"/>
      <c r="X246" s="406"/>
      <c r="Y246" s="406"/>
      <c r="Z246" s="406"/>
      <c r="AA246" s="406"/>
      <c r="AB246" s="406"/>
      <c r="AC246" s="406"/>
      <c r="AD246" s="406"/>
      <c r="AE246" s="406"/>
      <c r="AF246" s="406"/>
      <c r="AG246" s="406"/>
      <c r="AH246" s="406"/>
      <c r="AI246" s="406"/>
      <c r="AJ246" s="406"/>
      <c r="AK246" s="406"/>
      <c r="AL246" s="406"/>
      <c r="AM246" s="406"/>
      <c r="AN246" s="406"/>
    </row>
    <row r="247" spans="1:40" ht="15" customHeight="1" thickBot="1" x14ac:dyDescent="0.25">
      <c r="A247" s="1482"/>
      <c r="B247" s="402" t="s">
        <v>350</v>
      </c>
      <c r="C247" s="1472"/>
      <c r="D247" s="1472"/>
      <c r="E247" s="1472">
        <f>SUM('6. sz.melléklet'!E28)</f>
        <v>4572000</v>
      </c>
      <c r="F247" s="1472"/>
      <c r="G247" s="1472"/>
      <c r="H247" s="1472"/>
      <c r="I247" s="1472"/>
      <c r="J247" s="1472"/>
      <c r="K247" s="1472"/>
      <c r="L247" s="1473"/>
      <c r="M247" s="1472"/>
      <c r="N247" s="779">
        <f>SUM(C247:M247)</f>
        <v>4572000</v>
      </c>
      <c r="O247" s="449"/>
      <c r="P247" s="406"/>
      <c r="Q247" s="406"/>
      <c r="R247" s="406"/>
      <c r="S247" s="406"/>
      <c r="T247" s="406"/>
    </row>
    <row r="248" spans="1:40" ht="15" customHeight="1" x14ac:dyDescent="0.2">
      <c r="A248" s="446" t="s">
        <v>247</v>
      </c>
      <c r="B248" s="445" t="s">
        <v>248</v>
      </c>
      <c r="C248" s="736"/>
      <c r="D248" s="736"/>
      <c r="E248" s="736"/>
      <c r="F248" s="736"/>
      <c r="G248" s="736"/>
      <c r="H248" s="736"/>
      <c r="I248" s="794"/>
      <c r="J248" s="794"/>
      <c r="K248" s="794"/>
      <c r="L248" s="795"/>
      <c r="M248" s="794"/>
      <c r="N248" s="796"/>
      <c r="O248" s="449"/>
      <c r="P248" s="406"/>
      <c r="Q248" s="406"/>
      <c r="R248" s="406"/>
      <c r="S248" s="406"/>
      <c r="T248" s="406"/>
    </row>
    <row r="249" spans="1:40" s="447" customFormat="1" ht="15" customHeight="1" thickBot="1" x14ac:dyDescent="0.25">
      <c r="A249" s="403"/>
      <c r="B249" s="401" t="s">
        <v>349</v>
      </c>
      <c r="C249" s="721">
        <f>SUM('6. sz.melléklet'!C30)</f>
        <v>480000</v>
      </c>
      <c r="D249" s="721">
        <f>SUM('6. sz.melléklet'!D30)</f>
        <v>84000</v>
      </c>
      <c r="E249" s="721">
        <f>SUM('6. sz.melléklet'!E30)</f>
        <v>1537000</v>
      </c>
      <c r="F249" s="721"/>
      <c r="G249" s="721"/>
      <c r="H249" s="721"/>
      <c r="I249" s="789"/>
      <c r="J249" s="789"/>
      <c r="K249" s="789"/>
      <c r="L249" s="791"/>
      <c r="M249" s="789"/>
      <c r="N249" s="782">
        <f>SUM(C249:M249)</f>
        <v>2101000</v>
      </c>
      <c r="O249" s="449"/>
      <c r="P249" s="406"/>
      <c r="Q249" s="406"/>
      <c r="R249" s="406"/>
      <c r="S249" s="406"/>
      <c r="T249" s="406"/>
      <c r="U249" s="406"/>
      <c r="V249" s="406"/>
      <c r="W249" s="406"/>
      <c r="X249" s="406"/>
      <c r="Y249" s="406"/>
      <c r="Z249" s="406"/>
      <c r="AA249" s="406"/>
      <c r="AB249" s="406"/>
      <c r="AC249" s="406"/>
      <c r="AD249" s="406"/>
      <c r="AE249" s="406"/>
      <c r="AF249" s="406"/>
      <c r="AG249" s="406"/>
      <c r="AH249" s="406"/>
      <c r="AI249" s="406"/>
      <c r="AJ249" s="406"/>
      <c r="AK249" s="406"/>
      <c r="AL249" s="406"/>
      <c r="AM249" s="406"/>
      <c r="AN249" s="406"/>
    </row>
    <row r="250" spans="1:40" ht="15" customHeight="1" thickBot="1" x14ac:dyDescent="0.25">
      <c r="A250" s="1462"/>
      <c r="B250" s="1450" t="s">
        <v>350</v>
      </c>
      <c r="C250" s="1460">
        <f>SUM('6. sz.melléklet'!C31)</f>
        <v>480000</v>
      </c>
      <c r="D250" s="1460">
        <f>SUM('6. sz.melléklet'!D31)</f>
        <v>84000</v>
      </c>
      <c r="E250" s="1460">
        <f>SUM('6. sz.melléklet'!E31)</f>
        <v>1537000</v>
      </c>
      <c r="F250" s="1460"/>
      <c r="G250" s="1460"/>
      <c r="H250" s="1460"/>
      <c r="I250" s="1474"/>
      <c r="J250" s="1474"/>
      <c r="K250" s="1474"/>
      <c r="L250" s="1475"/>
      <c r="M250" s="1474"/>
      <c r="N250" s="1471">
        <f>SUM(C250:M250)</f>
        <v>2101000</v>
      </c>
      <c r="O250" s="449"/>
      <c r="P250" s="406"/>
      <c r="Q250" s="406"/>
      <c r="R250" s="406"/>
      <c r="S250" s="406"/>
      <c r="T250" s="406"/>
    </row>
    <row r="251" spans="1:40" ht="15" customHeight="1" x14ac:dyDescent="0.2">
      <c r="A251" s="446" t="s">
        <v>420</v>
      </c>
      <c r="B251" s="445" t="s">
        <v>421</v>
      </c>
      <c r="C251" s="736"/>
      <c r="D251" s="736"/>
      <c r="E251" s="736"/>
      <c r="F251" s="736"/>
      <c r="G251" s="736"/>
      <c r="H251" s="736"/>
      <c r="I251" s="794"/>
      <c r="J251" s="794"/>
      <c r="K251" s="794"/>
      <c r="L251" s="795"/>
      <c r="M251" s="794"/>
      <c r="N251" s="796"/>
      <c r="O251" s="449"/>
      <c r="P251" s="406"/>
      <c r="Q251" s="406"/>
      <c r="R251" s="406"/>
      <c r="S251" s="406"/>
      <c r="T251" s="406"/>
    </row>
    <row r="252" spans="1:40" s="447" customFormat="1" ht="15" customHeight="1" thickBot="1" x14ac:dyDescent="0.25">
      <c r="A252" s="403"/>
      <c r="B252" s="401" t="s">
        <v>349</v>
      </c>
      <c r="C252" s="721">
        <f>SUM('6. sz.melléklet'!C96)</f>
        <v>24000</v>
      </c>
      <c r="D252" s="721"/>
      <c r="E252" s="721"/>
      <c r="F252" s="721"/>
      <c r="G252" s="721"/>
      <c r="H252" s="721"/>
      <c r="I252" s="789"/>
      <c r="J252" s="789"/>
      <c r="K252" s="789"/>
      <c r="L252" s="791"/>
      <c r="M252" s="789"/>
      <c r="N252" s="782">
        <f>SUM(C252:M252)</f>
        <v>24000</v>
      </c>
      <c r="O252" s="449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  <c r="AA252" s="406"/>
      <c r="AB252" s="406"/>
      <c r="AC252" s="406"/>
      <c r="AD252" s="406"/>
      <c r="AE252" s="406"/>
      <c r="AF252" s="406"/>
      <c r="AG252" s="406"/>
      <c r="AH252" s="406"/>
      <c r="AI252" s="406"/>
      <c r="AJ252" s="406"/>
      <c r="AK252" s="406"/>
      <c r="AL252" s="406"/>
      <c r="AM252" s="406"/>
      <c r="AN252" s="406"/>
    </row>
    <row r="253" spans="1:40" ht="15" customHeight="1" thickBot="1" x14ac:dyDescent="0.25">
      <c r="A253" s="1462"/>
      <c r="B253" s="1450" t="s">
        <v>350</v>
      </c>
      <c r="C253" s="1460">
        <f>SUM('6. sz.melléklet'!C97)</f>
        <v>24000</v>
      </c>
      <c r="D253" s="1460"/>
      <c r="E253" s="1460"/>
      <c r="F253" s="1460"/>
      <c r="G253" s="1460"/>
      <c r="H253" s="1460"/>
      <c r="I253" s="1474"/>
      <c r="J253" s="1474"/>
      <c r="K253" s="1474"/>
      <c r="L253" s="1475"/>
      <c r="M253" s="1474"/>
      <c r="N253" s="1471">
        <f>SUM(C253:M253)</f>
        <v>24000</v>
      </c>
      <c r="O253" s="449"/>
      <c r="P253" s="406"/>
      <c r="Q253" s="406"/>
      <c r="R253" s="406"/>
      <c r="S253" s="406"/>
      <c r="T253" s="406"/>
    </row>
    <row r="254" spans="1:40" ht="15" customHeight="1" thickBot="1" x14ac:dyDescent="0.25">
      <c r="A254" s="559" t="s">
        <v>351</v>
      </c>
      <c r="B254" s="618"/>
      <c r="C254" s="741"/>
      <c r="D254" s="741"/>
      <c r="E254" s="741"/>
      <c r="F254" s="741"/>
      <c r="G254" s="741"/>
      <c r="H254" s="741"/>
      <c r="I254" s="741"/>
      <c r="J254" s="741"/>
      <c r="K254" s="741"/>
      <c r="L254" s="742"/>
      <c r="M254" s="738"/>
      <c r="N254" s="821"/>
      <c r="O254" s="535"/>
      <c r="P254" s="557"/>
      <c r="R254" s="558"/>
    </row>
    <row r="255" spans="1:40" ht="15" customHeight="1" thickBot="1" x14ac:dyDescent="0.25">
      <c r="A255" s="559"/>
      <c r="B255" s="531" t="s">
        <v>349</v>
      </c>
      <c r="C255" s="741">
        <f t="shared" ref="C255:N255" si="11">C234+C237+C240+C243+C246+C249+C252</f>
        <v>18020000</v>
      </c>
      <c r="D255" s="741">
        <f t="shared" si="11"/>
        <v>2761000</v>
      </c>
      <c r="E255" s="741">
        <f t="shared" si="11"/>
        <v>13681000</v>
      </c>
      <c r="F255" s="741">
        <f t="shared" si="11"/>
        <v>0</v>
      </c>
      <c r="G255" s="741">
        <f t="shared" si="11"/>
        <v>0</v>
      </c>
      <c r="H255" s="741">
        <f t="shared" si="11"/>
        <v>0</v>
      </c>
      <c r="I255" s="741">
        <f t="shared" si="11"/>
        <v>360000</v>
      </c>
      <c r="J255" s="741">
        <f t="shared" si="11"/>
        <v>0</v>
      </c>
      <c r="K255" s="741">
        <f t="shared" si="11"/>
        <v>0</v>
      </c>
      <c r="L255" s="741">
        <f t="shared" si="11"/>
        <v>0</v>
      </c>
      <c r="M255" s="741">
        <f t="shared" si="11"/>
        <v>0</v>
      </c>
      <c r="N255" s="741">
        <f t="shared" si="11"/>
        <v>34822000</v>
      </c>
      <c r="O255" s="535"/>
      <c r="P255" s="557"/>
      <c r="R255" s="558"/>
    </row>
    <row r="256" spans="1:40" ht="15" customHeight="1" thickBot="1" x14ac:dyDescent="0.25">
      <c r="A256" s="559"/>
      <c r="B256" s="531" t="s">
        <v>350</v>
      </c>
      <c r="C256" s="741">
        <f>C235+C238+C241+C244+C247+C250+C253</f>
        <v>18778400</v>
      </c>
      <c r="D256" s="741">
        <f t="shared" ref="D256:N256" si="12">D235+D238+D241+D244+D247+D250+D253</f>
        <v>2894000</v>
      </c>
      <c r="E256" s="741">
        <f t="shared" si="12"/>
        <v>13681000</v>
      </c>
      <c r="F256" s="741">
        <f t="shared" si="12"/>
        <v>0</v>
      </c>
      <c r="G256" s="741">
        <f t="shared" si="12"/>
        <v>0</v>
      </c>
      <c r="H256" s="741">
        <f t="shared" si="12"/>
        <v>0</v>
      </c>
      <c r="I256" s="741">
        <f t="shared" si="12"/>
        <v>360000</v>
      </c>
      <c r="J256" s="741">
        <f t="shared" si="12"/>
        <v>0</v>
      </c>
      <c r="K256" s="741">
        <f t="shared" si="12"/>
        <v>0</v>
      </c>
      <c r="L256" s="741">
        <f t="shared" si="12"/>
        <v>0</v>
      </c>
      <c r="M256" s="741">
        <f t="shared" si="12"/>
        <v>0</v>
      </c>
      <c r="N256" s="741">
        <f t="shared" si="12"/>
        <v>35713400</v>
      </c>
      <c r="O256" s="535"/>
      <c r="P256" s="557"/>
      <c r="R256" s="558"/>
    </row>
    <row r="257" spans="1:20" ht="15" customHeight="1" thickBot="1" x14ac:dyDescent="0.25">
      <c r="A257" s="559"/>
      <c r="B257" s="531"/>
      <c r="C257" s="741"/>
      <c r="D257" s="741"/>
      <c r="E257" s="741"/>
      <c r="F257" s="741"/>
      <c r="G257" s="741"/>
      <c r="H257" s="741"/>
      <c r="I257" s="741"/>
      <c r="J257" s="741"/>
      <c r="K257" s="741"/>
      <c r="L257" s="742"/>
      <c r="M257" s="741"/>
      <c r="N257" s="822"/>
      <c r="O257" s="535"/>
      <c r="P257" s="557"/>
      <c r="R257" s="558"/>
    </row>
    <row r="258" spans="1:20" ht="15" customHeight="1" thickBot="1" x14ac:dyDescent="0.25">
      <c r="A258" s="560"/>
      <c r="B258" s="561"/>
      <c r="C258" s="744"/>
      <c r="D258" s="744"/>
      <c r="E258" s="744"/>
      <c r="F258" s="744"/>
      <c r="G258" s="744"/>
      <c r="H258" s="744"/>
      <c r="I258" s="744"/>
      <c r="J258" s="744"/>
      <c r="K258" s="744"/>
      <c r="L258" s="745"/>
      <c r="M258" s="797"/>
      <c r="N258" s="823"/>
      <c r="O258" s="535"/>
      <c r="P258" s="557"/>
      <c r="R258" s="558"/>
    </row>
    <row r="259" spans="1:20" s="565" customFormat="1" ht="15" customHeight="1" x14ac:dyDescent="0.2">
      <c r="A259" s="2007" t="s">
        <v>343</v>
      </c>
      <c r="B259" s="2008"/>
      <c r="C259" s="824"/>
      <c r="D259" s="824"/>
      <c r="E259" s="824"/>
      <c r="F259" s="824"/>
      <c r="G259" s="824"/>
      <c r="H259" s="824"/>
      <c r="I259" s="824"/>
      <c r="J259" s="824"/>
      <c r="K259" s="824"/>
      <c r="L259" s="824"/>
      <c r="M259" s="824"/>
      <c r="N259" s="778"/>
      <c r="O259" s="562"/>
      <c r="P259" s="563"/>
      <c r="Q259" s="564"/>
      <c r="R259" s="564"/>
      <c r="S259" s="564"/>
      <c r="T259" s="564"/>
    </row>
    <row r="260" spans="1:20" ht="15" customHeight="1" x14ac:dyDescent="0.2">
      <c r="A260" s="566"/>
      <c r="B260" s="567" t="s">
        <v>349</v>
      </c>
      <c r="C260" s="825">
        <f t="shared" ref="C260:N260" si="13">C219+C228+C255</f>
        <v>340831000</v>
      </c>
      <c r="D260" s="825">
        <f t="shared" si="13"/>
        <v>64353000</v>
      </c>
      <c r="E260" s="825">
        <f t="shared" si="13"/>
        <v>347015483</v>
      </c>
      <c r="F260" s="825">
        <f t="shared" si="13"/>
        <v>23896000</v>
      </c>
      <c r="G260" s="825">
        <f t="shared" si="13"/>
        <v>238086912</v>
      </c>
      <c r="H260" s="825">
        <f t="shared" si="13"/>
        <v>759898714</v>
      </c>
      <c r="I260" s="825">
        <f t="shared" si="13"/>
        <v>142159607</v>
      </c>
      <c r="J260" s="825">
        <f t="shared" si="13"/>
        <v>23080050</v>
      </c>
      <c r="K260" s="825">
        <f t="shared" si="13"/>
        <v>54155707.555555582</v>
      </c>
      <c r="L260" s="825">
        <f t="shared" si="13"/>
        <v>26500000</v>
      </c>
      <c r="M260" s="825">
        <f t="shared" si="13"/>
        <v>5398843</v>
      </c>
      <c r="N260" s="826">
        <f t="shared" si="13"/>
        <v>2025375316.5555556</v>
      </c>
      <c r="O260" s="549"/>
      <c r="P260" s="997"/>
      <c r="Q260" s="998"/>
    </row>
    <row r="261" spans="1:20" ht="15" customHeight="1" thickBot="1" x14ac:dyDescent="0.25">
      <c r="A261" s="568"/>
      <c r="B261" s="569" t="s">
        <v>350</v>
      </c>
      <c r="C261" s="570">
        <f t="shared" ref="C261:M261" si="14">C220+C229+C256</f>
        <v>363375614</v>
      </c>
      <c r="D261" s="570">
        <f t="shared" si="14"/>
        <v>70222791</v>
      </c>
      <c r="E261" s="570">
        <f t="shared" si="14"/>
        <v>427281501</v>
      </c>
      <c r="F261" s="570">
        <f t="shared" si="14"/>
        <v>23896000</v>
      </c>
      <c r="G261" s="570">
        <f t="shared" si="14"/>
        <v>238086912</v>
      </c>
      <c r="H261" s="570">
        <f t="shared" si="14"/>
        <v>683752738</v>
      </c>
      <c r="I261" s="570">
        <f t="shared" si="14"/>
        <v>142159607</v>
      </c>
      <c r="J261" s="570">
        <f t="shared" si="14"/>
        <v>23080050</v>
      </c>
      <c r="K261" s="570">
        <f t="shared" si="14"/>
        <v>21334155</v>
      </c>
      <c r="L261" s="571">
        <f t="shared" si="14"/>
        <v>3571800</v>
      </c>
      <c r="M261" s="571">
        <f t="shared" si="14"/>
        <v>98577047</v>
      </c>
      <c r="N261" s="572">
        <f>SUM(N256,N229,N220)</f>
        <v>2095338215</v>
      </c>
      <c r="O261" s="549"/>
      <c r="P261" s="549">
        <f>SUM(C261:M261)</f>
        <v>2095338215</v>
      </c>
    </row>
    <row r="262" spans="1:20" ht="15" customHeight="1" x14ac:dyDescent="0.2">
      <c r="A262" s="619"/>
      <c r="B262" s="619"/>
      <c r="C262" s="620"/>
      <c r="D262" s="620"/>
      <c r="E262" s="620"/>
      <c r="F262" s="620"/>
      <c r="G262" s="620"/>
      <c r="H262" s="620"/>
      <c r="I262" s="620"/>
      <c r="J262" s="620"/>
      <c r="K262" s="620"/>
      <c r="L262" s="620"/>
      <c r="M262" s="620"/>
      <c r="N262" s="620"/>
      <c r="O262" s="558"/>
      <c r="P262" s="553"/>
    </row>
    <row r="263" spans="1:20" ht="15.75" x14ac:dyDescent="0.25">
      <c r="C263" s="558"/>
      <c r="D263" s="558"/>
      <c r="E263" s="558"/>
      <c r="F263" s="558"/>
      <c r="G263" s="558"/>
      <c r="H263" s="558"/>
      <c r="I263" s="558"/>
      <c r="J263" s="558"/>
      <c r="K263" s="558"/>
      <c r="L263" s="558"/>
      <c r="M263" s="558"/>
      <c r="N263" s="558"/>
      <c r="O263" s="612"/>
      <c r="P263" s="558"/>
    </row>
    <row r="264" spans="1:20" x14ac:dyDescent="0.2">
      <c r="C264" s="558"/>
      <c r="D264" s="558"/>
      <c r="E264" s="558"/>
      <c r="F264" s="558"/>
      <c r="G264" s="558"/>
      <c r="H264" s="558"/>
      <c r="I264" s="558"/>
      <c r="J264" s="558"/>
      <c r="K264" s="558"/>
      <c r="L264" s="558"/>
      <c r="M264" s="558"/>
      <c r="N264" s="558"/>
      <c r="O264" s="558"/>
      <c r="P264" s="558"/>
    </row>
    <row r="265" spans="1:20" x14ac:dyDescent="0.2">
      <c r="C265" s="558"/>
      <c r="D265" s="558"/>
      <c r="E265" s="558"/>
      <c r="F265" s="558"/>
      <c r="G265" s="558"/>
      <c r="H265" s="558"/>
      <c r="I265" s="558"/>
      <c r="J265" s="558"/>
      <c r="K265" s="558"/>
      <c r="L265" s="558"/>
      <c r="M265" s="558"/>
      <c r="N265" s="558"/>
      <c r="O265" s="558"/>
      <c r="P265" s="558"/>
    </row>
    <row r="266" spans="1:20" x14ac:dyDescent="0.2">
      <c r="C266" s="558"/>
      <c r="D266" s="558"/>
      <c r="E266" s="558"/>
      <c r="F266" s="558"/>
      <c r="G266" s="558"/>
      <c r="H266" s="558"/>
      <c r="I266" s="558"/>
      <c r="J266" s="558"/>
      <c r="K266" s="558"/>
      <c r="L266" s="558"/>
      <c r="M266" s="558"/>
      <c r="N266" s="558"/>
      <c r="O266" s="558"/>
      <c r="P266" s="558"/>
    </row>
    <row r="267" spans="1:20" x14ac:dyDescent="0.2">
      <c r="C267" s="558"/>
      <c r="D267" s="558"/>
      <c r="E267" s="558"/>
      <c r="F267" s="558"/>
      <c r="G267" s="558"/>
      <c r="H267" s="558"/>
      <c r="I267" s="558"/>
      <c r="J267" s="558"/>
      <c r="K267" s="558"/>
      <c r="L267" s="558"/>
      <c r="M267" s="558"/>
      <c r="N267" s="558"/>
      <c r="O267" s="558"/>
      <c r="P267" s="558"/>
    </row>
    <row r="268" spans="1:20" x14ac:dyDescent="0.2">
      <c r="C268" s="558"/>
      <c r="D268" s="558"/>
      <c r="E268" s="558"/>
      <c r="F268" s="558"/>
      <c r="G268" s="558"/>
      <c r="H268" s="558"/>
      <c r="I268" s="558"/>
      <c r="J268" s="558"/>
      <c r="K268" s="558"/>
      <c r="L268" s="558"/>
      <c r="M268" s="558"/>
      <c r="N268" s="558"/>
      <c r="O268" s="558"/>
      <c r="P268" s="558"/>
    </row>
    <row r="269" spans="1:20" x14ac:dyDescent="0.2">
      <c r="C269" s="558"/>
      <c r="D269" s="558"/>
      <c r="E269" s="558"/>
      <c r="F269" s="558"/>
      <c r="G269" s="558"/>
      <c r="H269" s="558"/>
      <c r="I269" s="558"/>
      <c r="J269" s="558"/>
      <c r="K269" s="558"/>
      <c r="L269" s="558"/>
      <c r="M269" s="558"/>
      <c r="N269" s="558"/>
      <c r="O269" s="558"/>
      <c r="P269" s="558"/>
    </row>
    <row r="270" spans="1:20" ht="15" customHeight="1" x14ac:dyDescent="0.2">
      <c r="C270" s="558"/>
      <c r="D270" s="558"/>
      <c r="E270" s="558"/>
      <c r="F270" s="558"/>
      <c r="G270" s="558"/>
      <c r="H270" s="558"/>
      <c r="I270" s="558"/>
      <c r="J270" s="558"/>
      <c r="K270" s="558"/>
      <c r="L270" s="558"/>
      <c r="M270" s="558"/>
      <c r="N270" s="558"/>
      <c r="O270" s="558"/>
      <c r="P270" s="558"/>
    </row>
    <row r="271" spans="1:20" ht="15" customHeight="1" x14ac:dyDescent="0.2">
      <c r="C271" s="558"/>
      <c r="D271" s="558"/>
      <c r="E271" s="558"/>
      <c r="F271" s="558"/>
      <c r="G271" s="558"/>
      <c r="H271" s="558"/>
      <c r="I271" s="558"/>
      <c r="J271" s="558"/>
      <c r="K271" s="558"/>
      <c r="L271" s="558"/>
      <c r="M271" s="558"/>
      <c r="N271" s="558"/>
      <c r="O271" s="558"/>
      <c r="P271" s="558"/>
    </row>
    <row r="272" spans="1:20" ht="15" customHeight="1" x14ac:dyDescent="0.2">
      <c r="C272" s="558"/>
      <c r="D272" s="558"/>
      <c r="E272" s="558"/>
      <c r="F272" s="558"/>
      <c r="G272" s="558"/>
      <c r="H272" s="558"/>
      <c r="I272" s="558"/>
      <c r="J272" s="558"/>
      <c r="K272" s="558"/>
      <c r="L272" s="558"/>
      <c r="M272" s="558"/>
      <c r="N272" s="558"/>
      <c r="O272" s="558"/>
      <c r="P272" s="558"/>
    </row>
    <row r="273" spans="3:16" ht="15" customHeight="1" x14ac:dyDescent="0.2">
      <c r="C273" s="558"/>
      <c r="D273" s="558"/>
      <c r="E273" s="558"/>
      <c r="F273" s="558"/>
      <c r="G273" s="558"/>
      <c r="H273" s="558"/>
      <c r="I273" s="558"/>
      <c r="J273" s="558"/>
      <c r="K273" s="558"/>
      <c r="L273" s="558"/>
      <c r="M273" s="558"/>
      <c r="N273" s="558"/>
      <c r="O273" s="558"/>
      <c r="P273" s="558"/>
    </row>
    <row r="274" spans="3:16" ht="15" customHeight="1" x14ac:dyDescent="0.2">
      <c r="C274" s="558"/>
      <c r="D274" s="558"/>
      <c r="E274" s="558"/>
      <c r="F274" s="558"/>
      <c r="G274" s="558"/>
      <c r="H274" s="558"/>
      <c r="I274" s="558"/>
      <c r="J274" s="558"/>
      <c r="K274" s="558"/>
      <c r="L274" s="558"/>
      <c r="M274" s="558"/>
      <c r="N274" s="558"/>
      <c r="O274" s="558"/>
      <c r="P274" s="558"/>
    </row>
    <row r="275" spans="3:16" ht="15" customHeight="1" x14ac:dyDescent="0.2">
      <c r="C275" s="558"/>
      <c r="D275" s="558"/>
      <c r="E275" s="558"/>
      <c r="F275" s="558"/>
      <c r="G275" s="558"/>
      <c r="H275" s="558"/>
      <c r="I275" s="558"/>
      <c r="J275" s="558"/>
      <c r="K275" s="558"/>
      <c r="L275" s="558"/>
      <c r="M275" s="558"/>
      <c r="N275" s="558"/>
      <c r="O275" s="558"/>
      <c r="P275" s="558"/>
    </row>
    <row r="276" spans="3:16" ht="15" customHeight="1" x14ac:dyDescent="0.2">
      <c r="C276" s="558"/>
      <c r="D276" s="558"/>
      <c r="E276" s="558"/>
      <c r="F276" s="558"/>
      <c r="G276" s="558"/>
      <c r="H276" s="558"/>
      <c r="I276" s="558"/>
      <c r="J276" s="558"/>
      <c r="K276" s="558"/>
      <c r="L276" s="558"/>
      <c r="M276" s="558"/>
      <c r="N276" s="558"/>
      <c r="O276" s="558"/>
      <c r="P276" s="558"/>
    </row>
    <row r="277" spans="3:16" ht="15" customHeight="1" x14ac:dyDescent="0.2">
      <c r="C277" s="558"/>
      <c r="D277" s="558"/>
      <c r="E277" s="558"/>
      <c r="F277" s="558"/>
      <c r="G277" s="558"/>
      <c r="H277" s="558"/>
      <c r="I277" s="558"/>
      <c r="J277" s="558"/>
      <c r="K277" s="558"/>
      <c r="L277" s="558"/>
      <c r="M277" s="558"/>
      <c r="N277" s="558"/>
      <c r="O277" s="558"/>
      <c r="P277" s="558"/>
    </row>
    <row r="278" spans="3:16" ht="15" customHeight="1" x14ac:dyDescent="0.2">
      <c r="C278" s="558"/>
      <c r="D278" s="558"/>
      <c r="E278" s="558"/>
      <c r="F278" s="558"/>
      <c r="G278" s="558"/>
      <c r="H278" s="558"/>
      <c r="I278" s="558"/>
      <c r="J278" s="558"/>
      <c r="K278" s="558"/>
      <c r="L278" s="558"/>
      <c r="M278" s="558"/>
      <c r="N278" s="558"/>
      <c r="O278" s="558"/>
      <c r="P278" s="558"/>
    </row>
    <row r="279" spans="3:16" ht="15" customHeight="1" x14ac:dyDescent="0.2">
      <c r="C279" s="558"/>
      <c r="D279" s="558"/>
      <c r="E279" s="558"/>
      <c r="F279" s="558"/>
      <c r="G279" s="558"/>
      <c r="H279" s="558"/>
      <c r="I279" s="558"/>
      <c r="J279" s="558"/>
      <c r="K279" s="558"/>
      <c r="L279" s="558"/>
      <c r="M279" s="558"/>
      <c r="N279" s="558"/>
      <c r="O279" s="558"/>
      <c r="P279" s="558"/>
    </row>
    <row r="280" spans="3:16" ht="15" customHeight="1" x14ac:dyDescent="0.2">
      <c r="C280" s="558"/>
      <c r="D280" s="558"/>
      <c r="E280" s="558"/>
      <c r="F280" s="558"/>
      <c r="G280" s="558"/>
      <c r="H280" s="558"/>
      <c r="I280" s="558"/>
      <c r="J280" s="558"/>
      <c r="K280" s="558"/>
      <c r="L280" s="558"/>
      <c r="M280" s="558"/>
      <c r="N280" s="558"/>
      <c r="O280" s="558"/>
      <c r="P280" s="558"/>
    </row>
    <row r="281" spans="3:16" ht="15" customHeight="1" x14ac:dyDescent="0.2">
      <c r="C281" s="558"/>
      <c r="D281" s="558"/>
      <c r="E281" s="558"/>
      <c r="F281" s="558"/>
      <c r="G281" s="558"/>
      <c r="H281" s="558"/>
      <c r="I281" s="558"/>
      <c r="J281" s="558"/>
      <c r="K281" s="558"/>
      <c r="L281" s="558"/>
      <c r="M281" s="558"/>
      <c r="N281" s="558"/>
      <c r="O281" s="558"/>
      <c r="P281" s="558"/>
    </row>
    <row r="282" spans="3:16" ht="15" customHeight="1" x14ac:dyDescent="0.2">
      <c r="C282" s="558"/>
      <c r="D282" s="558"/>
      <c r="E282" s="558"/>
      <c r="F282" s="558"/>
      <c r="G282" s="558"/>
      <c r="H282" s="558"/>
      <c r="I282" s="558"/>
      <c r="J282" s="558"/>
      <c r="K282" s="558"/>
      <c r="L282" s="558"/>
      <c r="M282" s="558"/>
      <c r="N282" s="558"/>
      <c r="O282" s="558"/>
      <c r="P282" s="558"/>
    </row>
    <row r="283" spans="3:16" ht="15" customHeight="1" x14ac:dyDescent="0.2">
      <c r="C283" s="558"/>
      <c r="D283" s="558"/>
      <c r="E283" s="558"/>
      <c r="F283" s="558"/>
      <c r="G283" s="558"/>
      <c r="H283" s="558"/>
      <c r="I283" s="558"/>
      <c r="J283" s="558"/>
      <c r="K283" s="558"/>
      <c r="L283" s="558"/>
      <c r="M283" s="558"/>
      <c r="N283" s="558"/>
      <c r="O283" s="558"/>
      <c r="P283" s="558"/>
    </row>
    <row r="284" spans="3:16" ht="15" customHeight="1" x14ac:dyDescent="0.2">
      <c r="C284" s="558"/>
      <c r="D284" s="558"/>
      <c r="E284" s="558"/>
      <c r="F284" s="558"/>
      <c r="G284" s="558"/>
      <c r="H284" s="558"/>
      <c r="I284" s="558"/>
      <c r="J284" s="558"/>
      <c r="K284" s="558"/>
      <c r="L284" s="558"/>
      <c r="M284" s="558"/>
      <c r="N284" s="558"/>
      <c r="O284" s="558"/>
      <c r="P284" s="558"/>
    </row>
    <row r="285" spans="3:16" ht="15" customHeight="1" x14ac:dyDescent="0.2">
      <c r="C285" s="558"/>
      <c r="D285" s="558"/>
      <c r="E285" s="558"/>
      <c r="F285" s="558"/>
      <c r="G285" s="558"/>
      <c r="H285" s="558"/>
      <c r="I285" s="558"/>
      <c r="J285" s="558"/>
      <c r="K285" s="558"/>
      <c r="L285" s="558"/>
      <c r="M285" s="558"/>
      <c r="N285" s="558"/>
      <c r="O285" s="558"/>
      <c r="P285" s="558"/>
    </row>
    <row r="286" spans="3:16" ht="15" customHeight="1" x14ac:dyDescent="0.2">
      <c r="C286" s="558"/>
      <c r="D286" s="558"/>
      <c r="E286" s="558"/>
      <c r="F286" s="558"/>
      <c r="G286" s="558"/>
      <c r="H286" s="558"/>
      <c r="I286" s="558"/>
      <c r="J286" s="558"/>
      <c r="K286" s="558"/>
      <c r="L286" s="558"/>
      <c r="M286" s="558"/>
      <c r="N286" s="558"/>
      <c r="O286" s="558"/>
      <c r="P286" s="558"/>
    </row>
    <row r="287" spans="3:16" ht="15" customHeight="1" x14ac:dyDescent="0.2">
      <c r="C287" s="558"/>
      <c r="D287" s="558"/>
      <c r="E287" s="558"/>
      <c r="F287" s="558"/>
      <c r="G287" s="558"/>
      <c r="H287" s="558"/>
      <c r="I287" s="558"/>
      <c r="J287" s="558"/>
      <c r="K287" s="558"/>
      <c r="L287" s="558"/>
      <c r="M287" s="558"/>
      <c r="N287" s="558"/>
      <c r="O287" s="558"/>
      <c r="P287" s="558"/>
    </row>
    <row r="288" spans="3:16" ht="15" customHeight="1" x14ac:dyDescent="0.2">
      <c r="C288" s="558"/>
      <c r="D288" s="558"/>
      <c r="E288" s="558"/>
      <c r="F288" s="558"/>
      <c r="G288" s="558"/>
      <c r="H288" s="558"/>
      <c r="I288" s="558"/>
      <c r="J288" s="558"/>
      <c r="K288" s="558"/>
      <c r="L288" s="558"/>
      <c r="M288" s="558"/>
      <c r="N288" s="558"/>
      <c r="O288" s="558"/>
      <c r="P288" s="558"/>
    </row>
    <row r="289" spans="3:16" ht="15" customHeight="1" x14ac:dyDescent="0.2">
      <c r="C289" s="558"/>
      <c r="D289" s="558"/>
      <c r="E289" s="558"/>
      <c r="F289" s="558"/>
      <c r="G289" s="558"/>
      <c r="H289" s="558"/>
      <c r="I289" s="558"/>
      <c r="J289" s="558"/>
      <c r="K289" s="558"/>
      <c r="L289" s="558"/>
      <c r="M289" s="558"/>
      <c r="N289" s="558"/>
      <c r="O289" s="558"/>
      <c r="P289" s="558"/>
    </row>
    <row r="290" spans="3:16" ht="15" customHeight="1" x14ac:dyDescent="0.2">
      <c r="C290" s="558"/>
      <c r="D290" s="558"/>
      <c r="E290" s="558"/>
      <c r="F290" s="558"/>
      <c r="G290" s="558"/>
      <c r="H290" s="558"/>
      <c r="I290" s="558"/>
      <c r="J290" s="558"/>
      <c r="K290" s="558"/>
      <c r="L290" s="558"/>
      <c r="M290" s="558"/>
      <c r="N290" s="558"/>
      <c r="O290" s="558"/>
      <c r="P290" s="558"/>
    </row>
    <row r="291" spans="3:16" ht="15" customHeight="1" x14ac:dyDescent="0.2">
      <c r="C291" s="558"/>
      <c r="D291" s="558"/>
      <c r="E291" s="558"/>
      <c r="F291" s="558"/>
      <c r="G291" s="558"/>
      <c r="H291" s="558"/>
      <c r="I291" s="558"/>
      <c r="J291" s="558"/>
      <c r="K291" s="558"/>
      <c r="L291" s="558"/>
      <c r="M291" s="558"/>
      <c r="N291" s="558"/>
      <c r="O291" s="558"/>
      <c r="P291" s="558"/>
    </row>
    <row r="292" spans="3:16" ht="15" customHeight="1" x14ac:dyDescent="0.2">
      <c r="C292" s="558"/>
      <c r="D292" s="558"/>
      <c r="E292" s="558"/>
      <c r="F292" s="558"/>
      <c r="G292" s="558"/>
      <c r="H292" s="558"/>
      <c r="I292" s="558"/>
      <c r="J292" s="558"/>
      <c r="K292" s="558"/>
      <c r="L292" s="558"/>
      <c r="M292" s="558"/>
      <c r="N292" s="558"/>
      <c r="O292" s="558"/>
      <c r="P292" s="558"/>
    </row>
    <row r="293" spans="3:16" ht="15" customHeight="1" x14ac:dyDescent="0.2">
      <c r="C293" s="558"/>
      <c r="D293" s="558"/>
      <c r="E293" s="558"/>
      <c r="F293" s="558"/>
      <c r="G293" s="558"/>
      <c r="H293" s="558"/>
      <c r="I293" s="558"/>
      <c r="J293" s="558"/>
      <c r="K293" s="558"/>
      <c r="L293" s="558"/>
      <c r="M293" s="558"/>
      <c r="N293" s="558"/>
      <c r="O293" s="558"/>
      <c r="P293" s="558"/>
    </row>
    <row r="294" spans="3:16" ht="15" customHeight="1" x14ac:dyDescent="0.2">
      <c r="C294" s="558"/>
      <c r="D294" s="558"/>
      <c r="E294" s="558"/>
      <c r="F294" s="558"/>
      <c r="G294" s="558"/>
      <c r="H294" s="558"/>
      <c r="I294" s="558"/>
      <c r="J294" s="558"/>
      <c r="K294" s="558"/>
      <c r="L294" s="558"/>
      <c r="M294" s="558"/>
      <c r="N294" s="558"/>
      <c r="O294" s="558"/>
      <c r="P294" s="558"/>
    </row>
    <row r="295" spans="3:16" ht="15" customHeight="1" x14ac:dyDescent="0.2">
      <c r="C295" s="558"/>
      <c r="D295" s="558"/>
      <c r="E295" s="558"/>
      <c r="F295" s="558"/>
      <c r="G295" s="558"/>
      <c r="H295" s="558"/>
      <c r="I295" s="558"/>
      <c r="J295" s="558"/>
      <c r="K295" s="558"/>
      <c r="L295" s="558"/>
      <c r="M295" s="558"/>
      <c r="N295" s="558"/>
      <c r="O295" s="558"/>
      <c r="P295" s="558"/>
    </row>
    <row r="296" spans="3:16" ht="15" customHeight="1" x14ac:dyDescent="0.2">
      <c r="C296" s="558"/>
      <c r="D296" s="558"/>
      <c r="E296" s="558"/>
      <c r="F296" s="558"/>
      <c r="G296" s="558"/>
      <c r="H296" s="558"/>
      <c r="I296" s="558"/>
      <c r="J296" s="558"/>
      <c r="K296" s="558"/>
      <c r="L296" s="558"/>
      <c r="M296" s="558"/>
      <c r="N296" s="558"/>
      <c r="O296" s="558"/>
      <c r="P296" s="558"/>
    </row>
    <row r="297" spans="3:16" ht="15" customHeight="1" x14ac:dyDescent="0.2">
      <c r="C297" s="558"/>
      <c r="D297" s="558"/>
      <c r="E297" s="558"/>
      <c r="F297" s="558"/>
      <c r="G297" s="558"/>
      <c r="H297" s="558"/>
      <c r="I297" s="558"/>
      <c r="J297" s="558"/>
      <c r="K297" s="558"/>
      <c r="L297" s="558"/>
      <c r="M297" s="558"/>
      <c r="N297" s="558"/>
      <c r="O297" s="558"/>
      <c r="P297" s="558"/>
    </row>
    <row r="298" spans="3:16" ht="15" customHeight="1" x14ac:dyDescent="0.2">
      <c r="C298" s="558"/>
      <c r="D298" s="558"/>
      <c r="E298" s="558"/>
      <c r="F298" s="558"/>
      <c r="G298" s="558"/>
      <c r="H298" s="558"/>
      <c r="I298" s="558"/>
      <c r="J298" s="558"/>
      <c r="K298" s="558"/>
      <c r="L298" s="558"/>
      <c r="M298" s="558"/>
      <c r="N298" s="558"/>
      <c r="O298" s="558"/>
      <c r="P298" s="558"/>
    </row>
    <row r="299" spans="3:16" ht="15" customHeight="1" x14ac:dyDescent="0.2">
      <c r="C299" s="558"/>
      <c r="D299" s="558"/>
      <c r="E299" s="558"/>
      <c r="F299" s="558"/>
      <c r="G299" s="558"/>
      <c r="H299" s="558"/>
      <c r="I299" s="558"/>
      <c r="J299" s="558"/>
      <c r="K299" s="558"/>
      <c r="L299" s="558"/>
      <c r="M299" s="558"/>
      <c r="N299" s="558"/>
      <c r="O299" s="558"/>
      <c r="P299" s="558"/>
    </row>
    <row r="300" spans="3:16" ht="15" customHeight="1" x14ac:dyDescent="0.2">
      <c r="C300" s="558"/>
      <c r="D300" s="558"/>
      <c r="E300" s="558"/>
      <c r="F300" s="558"/>
      <c r="G300" s="558"/>
      <c r="H300" s="558"/>
      <c r="I300" s="558"/>
      <c r="J300" s="558"/>
      <c r="K300" s="558"/>
      <c r="L300" s="558"/>
      <c r="M300" s="558"/>
      <c r="N300" s="558"/>
      <c r="O300" s="558"/>
      <c r="P300" s="558"/>
    </row>
    <row r="301" spans="3:16" ht="15" customHeight="1" x14ac:dyDescent="0.2">
      <c r="C301" s="558"/>
      <c r="D301" s="558"/>
      <c r="E301" s="558"/>
      <c r="F301" s="558"/>
      <c r="G301" s="558"/>
      <c r="H301" s="558"/>
      <c r="I301" s="558"/>
      <c r="J301" s="558"/>
      <c r="K301" s="558"/>
      <c r="L301" s="558"/>
      <c r="M301" s="558"/>
      <c r="N301" s="558"/>
      <c r="O301" s="558"/>
      <c r="P301" s="558"/>
    </row>
    <row r="302" spans="3:16" ht="15" customHeight="1" x14ac:dyDescent="0.2">
      <c r="C302" s="558"/>
      <c r="D302" s="558"/>
      <c r="E302" s="558"/>
      <c r="F302" s="558"/>
      <c r="G302" s="558"/>
      <c r="H302" s="558"/>
      <c r="I302" s="558"/>
      <c r="J302" s="558"/>
      <c r="K302" s="558"/>
      <c r="L302" s="558"/>
      <c r="M302" s="558"/>
      <c r="N302" s="558"/>
      <c r="O302" s="558"/>
      <c r="P302" s="558"/>
    </row>
    <row r="303" spans="3:16" ht="15" customHeight="1" x14ac:dyDescent="0.2">
      <c r="C303" s="558"/>
      <c r="D303" s="558"/>
      <c r="E303" s="558"/>
      <c r="F303" s="558"/>
      <c r="G303" s="558"/>
      <c r="H303" s="558"/>
      <c r="I303" s="558"/>
      <c r="J303" s="558"/>
      <c r="K303" s="558"/>
      <c r="L303" s="558"/>
      <c r="M303" s="558"/>
      <c r="N303" s="558"/>
      <c r="O303" s="558"/>
      <c r="P303" s="558"/>
    </row>
    <row r="304" spans="3:16" ht="15" customHeight="1" x14ac:dyDescent="0.2">
      <c r="C304" s="558"/>
      <c r="D304" s="558"/>
      <c r="E304" s="558"/>
      <c r="F304" s="558"/>
      <c r="G304" s="558"/>
      <c r="H304" s="558"/>
      <c r="I304" s="558"/>
      <c r="J304" s="558"/>
      <c r="K304" s="558"/>
      <c r="L304" s="558"/>
      <c r="M304" s="558"/>
      <c r="N304" s="558"/>
      <c r="O304" s="558"/>
      <c r="P304" s="558"/>
    </row>
    <row r="305" spans="3:16" ht="15" customHeight="1" x14ac:dyDescent="0.2">
      <c r="C305" s="558"/>
      <c r="D305" s="558"/>
      <c r="E305" s="558"/>
      <c r="F305" s="558"/>
      <c r="G305" s="558"/>
      <c r="H305" s="558"/>
      <c r="I305" s="558"/>
      <c r="J305" s="558"/>
      <c r="K305" s="558"/>
      <c r="L305" s="558"/>
      <c r="M305" s="558"/>
      <c r="N305" s="558"/>
      <c r="O305" s="558"/>
      <c r="P305" s="558"/>
    </row>
    <row r="306" spans="3:16" ht="15" customHeight="1" x14ac:dyDescent="0.2">
      <c r="C306" s="558"/>
      <c r="D306" s="558"/>
      <c r="E306" s="558"/>
      <c r="F306" s="558"/>
      <c r="G306" s="558"/>
      <c r="H306" s="558"/>
      <c r="I306" s="558"/>
      <c r="J306" s="558"/>
      <c r="K306" s="558"/>
      <c r="L306" s="558"/>
      <c r="M306" s="558"/>
      <c r="N306" s="558"/>
      <c r="O306" s="558"/>
      <c r="P306" s="558"/>
    </row>
    <row r="307" spans="3:16" ht="15" customHeight="1" x14ac:dyDescent="0.2">
      <c r="C307" s="558"/>
      <c r="D307" s="558"/>
      <c r="E307" s="558"/>
      <c r="F307" s="558"/>
      <c r="G307" s="558"/>
      <c r="H307" s="558"/>
      <c r="I307" s="558"/>
      <c r="J307" s="558"/>
      <c r="K307" s="558"/>
      <c r="L307" s="558"/>
      <c r="M307" s="558"/>
      <c r="N307" s="558"/>
      <c r="O307" s="558"/>
      <c r="P307" s="558"/>
    </row>
    <row r="308" spans="3:16" ht="15" customHeight="1" x14ac:dyDescent="0.2">
      <c r="C308" s="558"/>
      <c r="D308" s="558"/>
      <c r="E308" s="558"/>
      <c r="F308" s="558"/>
      <c r="G308" s="558"/>
      <c r="H308" s="558"/>
      <c r="I308" s="558"/>
      <c r="J308" s="558"/>
      <c r="K308" s="558"/>
      <c r="L308" s="558"/>
      <c r="M308" s="558"/>
      <c r="N308" s="558"/>
      <c r="O308" s="558"/>
      <c r="P308" s="558"/>
    </row>
    <row r="309" spans="3:16" ht="15" customHeight="1" x14ac:dyDescent="0.2">
      <c r="C309" s="558"/>
      <c r="D309" s="558"/>
      <c r="E309" s="558"/>
      <c r="F309" s="558"/>
      <c r="G309" s="558"/>
      <c r="H309" s="558"/>
      <c r="I309" s="558"/>
      <c r="J309" s="558"/>
      <c r="K309" s="558"/>
      <c r="L309" s="558"/>
      <c r="M309" s="558"/>
      <c r="N309" s="558"/>
      <c r="O309" s="558"/>
      <c r="P309" s="558"/>
    </row>
    <row r="310" spans="3:16" ht="15" customHeight="1" x14ac:dyDescent="0.2">
      <c r="C310" s="558"/>
      <c r="D310" s="558"/>
      <c r="E310" s="558"/>
      <c r="F310" s="558"/>
      <c r="G310" s="558"/>
      <c r="H310" s="558"/>
      <c r="I310" s="558"/>
      <c r="J310" s="558"/>
      <c r="K310" s="558"/>
      <c r="L310" s="558"/>
      <c r="M310" s="558"/>
      <c r="N310" s="558"/>
      <c r="O310" s="558"/>
      <c r="P310" s="558"/>
    </row>
    <row r="311" spans="3:16" ht="15" customHeight="1" x14ac:dyDescent="0.2">
      <c r="C311" s="558"/>
      <c r="D311" s="558"/>
      <c r="E311" s="558"/>
      <c r="F311" s="558"/>
      <c r="G311" s="558"/>
      <c r="H311" s="558"/>
      <c r="I311" s="558"/>
      <c r="J311" s="558"/>
      <c r="K311" s="558"/>
      <c r="L311" s="558"/>
      <c r="M311" s="558"/>
      <c r="N311" s="558"/>
      <c r="O311" s="558"/>
      <c r="P311" s="558"/>
    </row>
    <row r="312" spans="3:16" ht="15" customHeight="1" x14ac:dyDescent="0.2">
      <c r="C312" s="558"/>
      <c r="D312" s="558"/>
      <c r="E312" s="558"/>
      <c r="F312" s="558"/>
      <c r="G312" s="558"/>
      <c r="H312" s="558"/>
      <c r="I312" s="558"/>
      <c r="J312" s="558"/>
      <c r="K312" s="558"/>
      <c r="L312" s="558"/>
      <c r="M312" s="558"/>
      <c r="N312" s="558"/>
      <c r="O312" s="558"/>
      <c r="P312" s="558"/>
    </row>
    <row r="313" spans="3:16" ht="15" customHeight="1" x14ac:dyDescent="0.2">
      <c r="C313" s="558"/>
      <c r="D313" s="558"/>
      <c r="E313" s="558"/>
      <c r="F313" s="558"/>
      <c r="G313" s="558"/>
      <c r="H313" s="558"/>
      <c r="I313" s="558"/>
      <c r="J313" s="558"/>
      <c r="K313" s="558"/>
      <c r="L313" s="558"/>
      <c r="M313" s="558"/>
      <c r="N313" s="558"/>
      <c r="O313" s="558"/>
      <c r="P313" s="558"/>
    </row>
    <row r="314" spans="3:16" ht="15" customHeight="1" x14ac:dyDescent="0.2">
      <c r="C314" s="558"/>
      <c r="D314" s="558"/>
      <c r="E314" s="558"/>
      <c r="F314" s="558"/>
      <c r="G314" s="558"/>
      <c r="H314" s="558"/>
      <c r="I314" s="558"/>
      <c r="J314" s="558"/>
      <c r="K314" s="558"/>
      <c r="L314" s="558"/>
      <c r="M314" s="558"/>
      <c r="N314" s="558"/>
      <c r="O314" s="558"/>
      <c r="P314" s="558"/>
    </row>
    <row r="315" spans="3:16" ht="15" customHeight="1" x14ac:dyDescent="0.2">
      <c r="C315" s="558"/>
      <c r="D315" s="558"/>
      <c r="E315" s="558"/>
      <c r="F315" s="558"/>
      <c r="G315" s="558"/>
      <c r="H315" s="558"/>
      <c r="I315" s="558"/>
      <c r="J315" s="558"/>
      <c r="K315" s="558"/>
      <c r="L315" s="558"/>
      <c r="M315" s="558"/>
      <c r="N315" s="558"/>
      <c r="O315" s="558"/>
      <c r="P315" s="558"/>
    </row>
    <row r="316" spans="3:16" ht="15" customHeight="1" x14ac:dyDescent="0.2">
      <c r="C316" s="558"/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</row>
    <row r="317" spans="3:16" ht="15" customHeight="1" x14ac:dyDescent="0.2">
      <c r="C317" s="558"/>
      <c r="D317" s="558"/>
      <c r="E317" s="558"/>
      <c r="F317" s="558"/>
      <c r="G317" s="558"/>
      <c r="H317" s="558"/>
      <c r="I317" s="558"/>
      <c r="J317" s="558"/>
      <c r="K317" s="558"/>
      <c r="L317" s="558"/>
      <c r="M317" s="558"/>
      <c r="N317" s="558"/>
      <c r="O317" s="558"/>
      <c r="P317" s="558"/>
    </row>
    <row r="318" spans="3:16" ht="15" customHeight="1" x14ac:dyDescent="0.2">
      <c r="C318" s="558"/>
      <c r="D318" s="558"/>
      <c r="E318" s="558"/>
      <c r="F318" s="558"/>
      <c r="G318" s="558"/>
      <c r="H318" s="558"/>
      <c r="I318" s="558"/>
      <c r="J318" s="558"/>
      <c r="K318" s="558"/>
      <c r="L318" s="558"/>
      <c r="M318" s="558"/>
      <c r="N318" s="558"/>
      <c r="O318" s="558"/>
      <c r="P318" s="558"/>
    </row>
    <row r="319" spans="3:16" ht="15" customHeight="1" x14ac:dyDescent="0.2">
      <c r="C319" s="558"/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</row>
    <row r="320" spans="3:16" ht="15" customHeight="1" x14ac:dyDescent="0.2">
      <c r="C320" s="558"/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</row>
    <row r="321" spans="3:16" ht="15" customHeight="1" x14ac:dyDescent="0.2">
      <c r="C321" s="558"/>
      <c r="D321" s="558"/>
      <c r="E321" s="558"/>
      <c r="F321" s="558"/>
      <c r="G321" s="558"/>
      <c r="H321" s="558"/>
      <c r="I321" s="558"/>
      <c r="J321" s="558"/>
      <c r="K321" s="558"/>
      <c r="L321" s="558"/>
      <c r="M321" s="558"/>
      <c r="N321" s="558"/>
      <c r="O321" s="558"/>
      <c r="P321" s="558"/>
    </row>
    <row r="322" spans="3:16" ht="15" customHeight="1" x14ac:dyDescent="0.2">
      <c r="C322" s="558"/>
      <c r="D322" s="558"/>
      <c r="E322" s="558"/>
      <c r="F322" s="558"/>
      <c r="G322" s="558"/>
      <c r="H322" s="558"/>
      <c r="I322" s="558"/>
      <c r="J322" s="558"/>
      <c r="K322" s="558"/>
      <c r="L322" s="558"/>
      <c r="M322" s="558"/>
      <c r="N322" s="558"/>
      <c r="O322" s="558"/>
      <c r="P322" s="558"/>
    </row>
    <row r="323" spans="3:16" ht="15" customHeight="1" x14ac:dyDescent="0.2">
      <c r="C323" s="558"/>
      <c r="D323" s="558"/>
      <c r="E323" s="558"/>
      <c r="F323" s="558"/>
      <c r="G323" s="558"/>
      <c r="H323" s="558"/>
      <c r="I323" s="558"/>
      <c r="J323" s="558"/>
      <c r="K323" s="558"/>
      <c r="L323" s="558"/>
      <c r="M323" s="558"/>
      <c r="N323" s="558"/>
      <c r="O323" s="558"/>
      <c r="P323" s="558"/>
    </row>
    <row r="324" spans="3:16" ht="15" customHeight="1" x14ac:dyDescent="0.2">
      <c r="C324" s="558"/>
      <c r="D324" s="558"/>
      <c r="E324" s="558"/>
      <c r="F324" s="558"/>
      <c r="G324" s="558"/>
      <c r="H324" s="558"/>
      <c r="I324" s="558"/>
      <c r="J324" s="558"/>
      <c r="K324" s="558"/>
      <c r="L324" s="558"/>
      <c r="M324" s="558"/>
      <c r="N324" s="558"/>
      <c r="O324" s="558"/>
      <c r="P324" s="558"/>
    </row>
    <row r="325" spans="3:16" ht="15" customHeight="1" x14ac:dyDescent="0.2">
      <c r="C325" s="558"/>
      <c r="D325" s="558"/>
      <c r="E325" s="558"/>
      <c r="F325" s="558"/>
      <c r="G325" s="558"/>
      <c r="H325" s="558"/>
      <c r="I325" s="558"/>
      <c r="J325" s="558"/>
      <c r="K325" s="558"/>
      <c r="L325" s="558"/>
      <c r="M325" s="558"/>
      <c r="N325" s="558"/>
      <c r="O325" s="558"/>
      <c r="P325" s="558"/>
    </row>
    <row r="326" spans="3:16" ht="15" customHeight="1" x14ac:dyDescent="0.2">
      <c r="C326" s="558"/>
      <c r="D326" s="558"/>
      <c r="E326" s="558"/>
      <c r="F326" s="558"/>
      <c r="G326" s="558"/>
      <c r="H326" s="558"/>
      <c r="I326" s="558"/>
      <c r="J326" s="558"/>
      <c r="K326" s="558"/>
      <c r="L326" s="558"/>
      <c r="M326" s="558"/>
      <c r="N326" s="558"/>
      <c r="O326" s="558"/>
      <c r="P326" s="558"/>
    </row>
    <row r="327" spans="3:16" ht="15" customHeight="1" x14ac:dyDescent="0.2">
      <c r="C327" s="558"/>
      <c r="D327" s="558"/>
      <c r="E327" s="558"/>
      <c r="F327" s="558"/>
      <c r="G327" s="558"/>
      <c r="H327" s="558"/>
      <c r="I327" s="558"/>
      <c r="J327" s="558"/>
      <c r="K327" s="558"/>
      <c r="L327" s="558"/>
      <c r="M327" s="558"/>
      <c r="N327" s="558"/>
      <c r="O327" s="558"/>
      <c r="P327" s="558"/>
    </row>
    <row r="328" spans="3:16" ht="15" customHeight="1" x14ac:dyDescent="0.2">
      <c r="C328" s="558"/>
      <c r="D328" s="558"/>
      <c r="E328" s="558"/>
      <c r="F328" s="558"/>
      <c r="G328" s="558"/>
      <c r="H328" s="558"/>
      <c r="I328" s="558"/>
      <c r="J328" s="558"/>
      <c r="K328" s="558"/>
      <c r="L328" s="558"/>
      <c r="M328" s="558"/>
      <c r="N328" s="558"/>
      <c r="O328" s="558"/>
      <c r="P328" s="558"/>
    </row>
    <row r="329" spans="3:16" ht="15" customHeight="1" x14ac:dyDescent="0.2">
      <c r="C329" s="558"/>
      <c r="D329" s="558"/>
      <c r="E329" s="558"/>
      <c r="F329" s="558"/>
      <c r="G329" s="558"/>
      <c r="H329" s="558"/>
      <c r="I329" s="558"/>
      <c r="J329" s="558"/>
      <c r="K329" s="558"/>
      <c r="L329" s="558"/>
      <c r="M329" s="558"/>
      <c r="N329" s="558"/>
      <c r="O329" s="558"/>
      <c r="P329" s="558"/>
    </row>
    <row r="330" spans="3:16" ht="15" customHeight="1" x14ac:dyDescent="0.2">
      <c r="C330" s="558"/>
      <c r="D330" s="558"/>
      <c r="E330" s="558"/>
      <c r="F330" s="558"/>
      <c r="G330" s="558"/>
      <c r="H330" s="558"/>
      <c r="I330" s="558"/>
      <c r="J330" s="558"/>
      <c r="K330" s="558"/>
      <c r="L330" s="558"/>
      <c r="M330" s="558"/>
      <c r="N330" s="558"/>
      <c r="O330" s="558"/>
      <c r="P330" s="558"/>
    </row>
    <row r="331" spans="3:16" ht="15" customHeight="1" x14ac:dyDescent="0.2">
      <c r="C331" s="558"/>
      <c r="D331" s="558"/>
      <c r="E331" s="558"/>
      <c r="F331" s="558"/>
      <c r="G331" s="558"/>
      <c r="H331" s="558"/>
      <c r="I331" s="558"/>
      <c r="J331" s="558"/>
      <c r="K331" s="558"/>
      <c r="L331" s="558"/>
      <c r="M331" s="558"/>
      <c r="N331" s="558"/>
      <c r="O331" s="558"/>
      <c r="P331" s="558"/>
    </row>
    <row r="332" spans="3:16" ht="15" customHeight="1" x14ac:dyDescent="0.2">
      <c r="C332" s="558"/>
      <c r="D332" s="558"/>
      <c r="E332" s="558"/>
      <c r="F332" s="558"/>
      <c r="G332" s="558"/>
      <c r="H332" s="558"/>
      <c r="I332" s="558"/>
      <c r="J332" s="558"/>
      <c r="K332" s="558"/>
      <c r="L332" s="558"/>
      <c r="M332" s="558"/>
      <c r="N332" s="558"/>
      <c r="O332" s="558"/>
      <c r="P332" s="558"/>
    </row>
    <row r="333" spans="3:16" ht="15" customHeight="1" x14ac:dyDescent="0.2">
      <c r="C333" s="558"/>
      <c r="D333" s="558"/>
      <c r="E333" s="558"/>
      <c r="F333" s="558"/>
      <c r="G333" s="558"/>
      <c r="H333" s="558"/>
      <c r="I333" s="558"/>
      <c r="J333" s="558"/>
      <c r="K333" s="558"/>
      <c r="L333" s="558"/>
      <c r="M333" s="558"/>
      <c r="N333" s="558"/>
      <c r="O333" s="558"/>
      <c r="P333" s="558"/>
    </row>
    <row r="334" spans="3:16" ht="15" customHeight="1" x14ac:dyDescent="0.2">
      <c r="C334" s="558"/>
      <c r="D334" s="558"/>
      <c r="E334" s="558"/>
      <c r="F334" s="558"/>
      <c r="G334" s="558"/>
      <c r="H334" s="558"/>
      <c r="I334" s="558"/>
      <c r="J334" s="558"/>
      <c r="K334" s="558"/>
      <c r="L334" s="558"/>
      <c r="M334" s="558"/>
      <c r="N334" s="558"/>
      <c r="O334" s="558"/>
      <c r="P334" s="558"/>
    </row>
    <row r="335" spans="3:16" ht="15" customHeight="1" x14ac:dyDescent="0.2">
      <c r="C335" s="558"/>
      <c r="D335" s="558"/>
      <c r="E335" s="558"/>
      <c r="F335" s="558"/>
      <c r="G335" s="558"/>
      <c r="H335" s="558"/>
      <c r="I335" s="558"/>
      <c r="J335" s="558"/>
      <c r="K335" s="558"/>
      <c r="L335" s="558"/>
      <c r="M335" s="558"/>
      <c r="N335" s="558"/>
      <c r="O335" s="558"/>
      <c r="P335" s="558"/>
    </row>
    <row r="336" spans="3:16" ht="15" customHeight="1" x14ac:dyDescent="0.2">
      <c r="C336" s="558"/>
      <c r="D336" s="558"/>
      <c r="E336" s="558"/>
      <c r="F336" s="558"/>
      <c r="G336" s="558"/>
      <c r="H336" s="558"/>
      <c r="I336" s="558"/>
      <c r="J336" s="558"/>
      <c r="K336" s="558"/>
      <c r="L336" s="558"/>
      <c r="M336" s="558"/>
      <c r="N336" s="558"/>
      <c r="O336" s="558"/>
      <c r="P336" s="558"/>
    </row>
    <row r="337" spans="3:16" ht="15" customHeight="1" x14ac:dyDescent="0.2">
      <c r="C337" s="558"/>
      <c r="D337" s="558"/>
      <c r="E337" s="558"/>
      <c r="F337" s="558"/>
      <c r="G337" s="558"/>
      <c r="H337" s="558"/>
      <c r="I337" s="558"/>
      <c r="J337" s="558"/>
      <c r="K337" s="558"/>
      <c r="L337" s="558"/>
      <c r="M337" s="558"/>
      <c r="N337" s="558"/>
      <c r="O337" s="558"/>
      <c r="P337" s="558"/>
    </row>
    <row r="338" spans="3:16" ht="15" customHeight="1" x14ac:dyDescent="0.2">
      <c r="C338" s="558"/>
      <c r="D338" s="558"/>
      <c r="E338" s="558"/>
      <c r="F338" s="558"/>
      <c r="G338" s="558"/>
      <c r="H338" s="558"/>
      <c r="I338" s="558"/>
      <c r="J338" s="558"/>
      <c r="K338" s="558"/>
      <c r="L338" s="558"/>
      <c r="M338" s="558"/>
      <c r="N338" s="558"/>
      <c r="O338" s="558"/>
      <c r="P338" s="558"/>
    </row>
    <row r="339" spans="3:16" ht="15" customHeight="1" x14ac:dyDescent="0.2">
      <c r="C339" s="558"/>
      <c r="D339" s="558"/>
      <c r="E339" s="558"/>
      <c r="F339" s="558"/>
      <c r="G339" s="558"/>
      <c r="H339" s="558"/>
      <c r="I339" s="558"/>
      <c r="J339" s="558"/>
      <c r="K339" s="558"/>
      <c r="L339" s="558"/>
      <c r="M339" s="558"/>
      <c r="N339" s="558"/>
      <c r="O339" s="558"/>
      <c r="P339" s="558"/>
    </row>
    <row r="340" spans="3:16" ht="15" customHeight="1" x14ac:dyDescent="0.2">
      <c r="C340" s="558"/>
      <c r="D340" s="558"/>
      <c r="E340" s="558"/>
      <c r="F340" s="558"/>
      <c r="G340" s="558"/>
      <c r="H340" s="558"/>
      <c r="I340" s="558"/>
      <c r="J340" s="558"/>
      <c r="K340" s="558"/>
      <c r="L340" s="558"/>
      <c r="M340" s="558"/>
      <c r="N340" s="558"/>
      <c r="O340" s="558"/>
      <c r="P340" s="558"/>
    </row>
    <row r="341" spans="3:16" ht="15" customHeight="1" x14ac:dyDescent="0.2">
      <c r="C341" s="558"/>
      <c r="D341" s="558"/>
      <c r="E341" s="558"/>
      <c r="F341" s="558"/>
      <c r="G341" s="558"/>
      <c r="H341" s="558"/>
      <c r="I341" s="558"/>
      <c r="J341" s="558"/>
      <c r="K341" s="558"/>
      <c r="L341" s="558"/>
      <c r="M341" s="558"/>
      <c r="N341" s="558"/>
      <c r="O341" s="558"/>
      <c r="P341" s="558"/>
    </row>
    <row r="342" spans="3:16" ht="15" customHeight="1" x14ac:dyDescent="0.2">
      <c r="C342" s="558"/>
      <c r="D342" s="558"/>
      <c r="E342" s="558"/>
      <c r="F342" s="558"/>
      <c r="G342" s="558"/>
      <c r="H342" s="558"/>
      <c r="I342" s="558"/>
      <c r="J342" s="558"/>
      <c r="K342" s="558"/>
      <c r="L342" s="558"/>
      <c r="M342" s="558"/>
      <c r="N342" s="558"/>
      <c r="O342" s="558"/>
      <c r="P342" s="558"/>
    </row>
    <row r="343" spans="3:16" ht="15" customHeight="1" x14ac:dyDescent="0.2">
      <c r="C343" s="558"/>
      <c r="D343" s="558"/>
      <c r="E343" s="558"/>
      <c r="F343" s="558"/>
      <c r="G343" s="558"/>
      <c r="H343" s="558"/>
      <c r="I343" s="558"/>
      <c r="J343" s="558"/>
      <c r="K343" s="558"/>
      <c r="L343" s="558"/>
      <c r="M343" s="558"/>
      <c r="N343" s="558"/>
      <c r="O343" s="558"/>
      <c r="P343" s="558"/>
    </row>
    <row r="344" spans="3:16" x14ac:dyDescent="0.2">
      <c r="C344" s="558"/>
      <c r="D344" s="558"/>
      <c r="E344" s="558"/>
      <c r="F344" s="558"/>
      <c r="G344" s="558"/>
      <c r="H344" s="558"/>
      <c r="I344" s="558"/>
      <c r="J344" s="558"/>
      <c r="K344" s="558"/>
      <c r="L344" s="558"/>
      <c r="M344" s="558"/>
      <c r="N344" s="558"/>
      <c r="O344" s="558"/>
      <c r="P344" s="558"/>
    </row>
    <row r="345" spans="3:16" x14ac:dyDescent="0.2">
      <c r="C345" s="558"/>
      <c r="D345" s="558"/>
      <c r="E345" s="558"/>
      <c r="F345" s="558"/>
      <c r="G345" s="558"/>
      <c r="H345" s="558"/>
      <c r="I345" s="558"/>
      <c r="J345" s="558"/>
      <c r="K345" s="558"/>
      <c r="L345" s="558"/>
      <c r="M345" s="558"/>
      <c r="N345" s="558"/>
      <c r="O345" s="558"/>
      <c r="P345" s="558"/>
    </row>
    <row r="346" spans="3:16" x14ac:dyDescent="0.2">
      <c r="C346" s="558"/>
      <c r="D346" s="558"/>
      <c r="E346" s="558"/>
      <c r="F346" s="558"/>
      <c r="G346" s="558"/>
      <c r="H346" s="558"/>
      <c r="I346" s="558"/>
      <c r="J346" s="558"/>
      <c r="K346" s="558"/>
      <c r="L346" s="558"/>
      <c r="M346" s="558"/>
      <c r="N346" s="558"/>
      <c r="O346" s="558"/>
      <c r="P346" s="558"/>
    </row>
    <row r="347" spans="3:16" x14ac:dyDescent="0.2">
      <c r="C347" s="558"/>
      <c r="D347" s="558"/>
      <c r="E347" s="558"/>
      <c r="F347" s="558"/>
      <c r="G347" s="558"/>
      <c r="H347" s="558"/>
      <c r="I347" s="558"/>
      <c r="J347" s="558"/>
      <c r="K347" s="558"/>
      <c r="L347" s="558"/>
      <c r="M347" s="558"/>
      <c r="N347" s="558"/>
      <c r="O347" s="558"/>
      <c r="P347" s="558"/>
    </row>
    <row r="348" spans="3:16" x14ac:dyDescent="0.2">
      <c r="C348" s="558"/>
      <c r="D348" s="558"/>
      <c r="E348" s="558"/>
      <c r="F348" s="558"/>
      <c r="G348" s="558"/>
      <c r="H348" s="558"/>
      <c r="I348" s="558"/>
      <c r="J348" s="558"/>
      <c r="K348" s="558"/>
      <c r="L348" s="558"/>
      <c r="M348" s="558"/>
      <c r="N348" s="558"/>
      <c r="O348" s="558"/>
      <c r="P348" s="558"/>
    </row>
    <row r="349" spans="3:16" x14ac:dyDescent="0.2">
      <c r="C349" s="558"/>
      <c r="D349" s="558"/>
      <c r="E349" s="558"/>
      <c r="F349" s="558"/>
      <c r="G349" s="558"/>
      <c r="H349" s="558"/>
      <c r="I349" s="558"/>
      <c r="J349" s="558"/>
      <c r="K349" s="558"/>
      <c r="L349" s="558"/>
      <c r="M349" s="558"/>
      <c r="N349" s="558"/>
      <c r="O349" s="558"/>
      <c r="P349" s="558"/>
    </row>
    <row r="350" spans="3:16" x14ac:dyDescent="0.2">
      <c r="C350" s="558"/>
      <c r="D350" s="558"/>
      <c r="E350" s="558"/>
      <c r="F350" s="558"/>
      <c r="G350" s="558"/>
      <c r="H350" s="558"/>
      <c r="I350" s="558"/>
      <c r="J350" s="558"/>
      <c r="K350" s="558"/>
      <c r="L350" s="558"/>
      <c r="M350" s="558"/>
      <c r="N350" s="558"/>
      <c r="O350" s="558"/>
      <c r="P350" s="558"/>
    </row>
    <row r="351" spans="3:16" x14ac:dyDescent="0.2">
      <c r="C351" s="558"/>
      <c r="D351" s="558"/>
      <c r="E351" s="558"/>
      <c r="F351" s="558"/>
      <c r="G351" s="558"/>
      <c r="H351" s="558"/>
      <c r="I351" s="558"/>
      <c r="J351" s="558"/>
      <c r="K351" s="558"/>
      <c r="L351" s="558"/>
      <c r="M351" s="558"/>
      <c r="N351" s="558"/>
      <c r="O351" s="558"/>
      <c r="P351" s="558"/>
    </row>
    <row r="352" spans="3:16" x14ac:dyDescent="0.2">
      <c r="C352" s="558"/>
      <c r="D352" s="558"/>
      <c r="E352" s="558"/>
      <c r="F352" s="558"/>
      <c r="G352" s="558"/>
      <c r="H352" s="558"/>
      <c r="I352" s="558"/>
      <c r="J352" s="558"/>
      <c r="K352" s="558"/>
      <c r="L352" s="558"/>
      <c r="M352" s="558"/>
      <c r="N352" s="558"/>
      <c r="O352" s="558"/>
      <c r="P352" s="558"/>
    </row>
    <row r="353" spans="3:16" x14ac:dyDescent="0.2">
      <c r="C353" s="558"/>
      <c r="D353" s="558"/>
      <c r="E353" s="558"/>
      <c r="F353" s="558"/>
      <c r="G353" s="558"/>
      <c r="H353" s="558"/>
      <c r="I353" s="558"/>
      <c r="J353" s="558"/>
      <c r="K353" s="558"/>
      <c r="L353" s="558"/>
      <c r="M353" s="558"/>
      <c r="N353" s="558"/>
      <c r="O353" s="558"/>
      <c r="P353" s="558"/>
    </row>
    <row r="354" spans="3:16" x14ac:dyDescent="0.2">
      <c r="C354" s="558"/>
      <c r="D354" s="558"/>
      <c r="E354" s="558"/>
      <c r="F354" s="558"/>
      <c r="G354" s="558"/>
      <c r="H354" s="558"/>
      <c r="I354" s="558"/>
      <c r="J354" s="558"/>
      <c r="K354" s="558"/>
      <c r="L354" s="558"/>
      <c r="M354" s="558"/>
      <c r="N354" s="558"/>
      <c r="O354" s="558"/>
      <c r="P354" s="558"/>
    </row>
    <row r="355" spans="3:16" x14ac:dyDescent="0.2">
      <c r="C355" s="558"/>
      <c r="D355" s="558"/>
      <c r="E355" s="558"/>
      <c r="F355" s="558"/>
      <c r="G355" s="558"/>
      <c r="H355" s="558"/>
      <c r="I355" s="558"/>
      <c r="J355" s="558"/>
      <c r="K355" s="558"/>
      <c r="L355" s="558"/>
      <c r="M355" s="558"/>
      <c r="N355" s="558"/>
      <c r="O355" s="558"/>
      <c r="P355" s="558"/>
    </row>
    <row r="356" spans="3:16" x14ac:dyDescent="0.2">
      <c r="C356" s="558"/>
      <c r="D356" s="558"/>
      <c r="E356" s="558"/>
      <c r="F356" s="558"/>
      <c r="G356" s="558"/>
      <c r="H356" s="558"/>
      <c r="I356" s="558"/>
      <c r="J356" s="558"/>
      <c r="K356" s="558"/>
      <c r="L356" s="558"/>
      <c r="M356" s="573"/>
      <c r="N356" s="558"/>
      <c r="O356" s="558"/>
      <c r="P356" s="558"/>
    </row>
    <row r="357" spans="3:16" x14ac:dyDescent="0.2">
      <c r="C357" s="558"/>
      <c r="D357" s="558"/>
      <c r="E357" s="558"/>
      <c r="F357" s="558"/>
      <c r="G357" s="558"/>
      <c r="H357" s="558"/>
      <c r="I357" s="558"/>
      <c r="J357" s="558"/>
      <c r="K357" s="558"/>
      <c r="L357" s="558"/>
      <c r="M357" s="573"/>
      <c r="N357" s="558"/>
      <c r="O357" s="558"/>
      <c r="P357" s="558"/>
    </row>
    <row r="358" spans="3:16" x14ac:dyDescent="0.2">
      <c r="C358" s="558"/>
      <c r="D358" s="558"/>
      <c r="E358" s="558"/>
      <c r="F358" s="558"/>
      <c r="G358" s="558"/>
      <c r="H358" s="558"/>
      <c r="I358" s="558"/>
      <c r="J358" s="558"/>
      <c r="K358" s="558"/>
      <c r="L358" s="558"/>
      <c r="M358" s="573"/>
      <c r="N358" s="558"/>
      <c r="O358" s="558"/>
      <c r="P358" s="558"/>
    </row>
    <row r="359" spans="3:16" x14ac:dyDescent="0.2">
      <c r="C359" s="558"/>
      <c r="D359" s="558"/>
      <c r="E359" s="558"/>
      <c r="F359" s="558"/>
      <c r="G359" s="558"/>
      <c r="H359" s="558"/>
      <c r="I359" s="558"/>
      <c r="J359" s="558"/>
      <c r="K359" s="558"/>
      <c r="L359" s="558"/>
      <c r="M359" s="573"/>
      <c r="N359" s="558"/>
      <c r="O359" s="558"/>
      <c r="P359" s="558"/>
    </row>
    <row r="360" spans="3:16" x14ac:dyDescent="0.2">
      <c r="C360" s="558"/>
      <c r="D360" s="558"/>
      <c r="E360" s="558"/>
      <c r="F360" s="558"/>
      <c r="G360" s="558"/>
      <c r="H360" s="558"/>
      <c r="I360" s="558"/>
      <c r="J360" s="558"/>
      <c r="K360" s="558"/>
      <c r="L360" s="558"/>
      <c r="M360" s="573"/>
      <c r="N360" s="558"/>
      <c r="O360" s="558"/>
      <c r="P360" s="558"/>
    </row>
    <row r="361" spans="3:16" x14ac:dyDescent="0.2">
      <c r="C361" s="558"/>
      <c r="D361" s="558"/>
      <c r="E361" s="558"/>
      <c r="F361" s="558"/>
      <c r="G361" s="558"/>
      <c r="H361" s="558"/>
      <c r="I361" s="558"/>
      <c r="J361" s="558"/>
      <c r="K361" s="558"/>
      <c r="L361" s="558"/>
      <c r="M361" s="573"/>
      <c r="N361" s="558"/>
      <c r="O361" s="558"/>
      <c r="P361" s="558"/>
    </row>
    <row r="362" spans="3:16" x14ac:dyDescent="0.2">
      <c r="C362" s="558"/>
      <c r="D362" s="558"/>
      <c r="E362" s="558"/>
      <c r="F362" s="558"/>
      <c r="G362" s="558"/>
      <c r="H362" s="558"/>
      <c r="I362" s="558"/>
      <c r="J362" s="558"/>
      <c r="K362" s="558"/>
      <c r="L362" s="558"/>
      <c r="M362" s="573"/>
      <c r="N362" s="558"/>
      <c r="O362" s="558"/>
      <c r="P362" s="558"/>
    </row>
    <row r="363" spans="3:16" x14ac:dyDescent="0.2">
      <c r="C363" s="558"/>
      <c r="D363" s="558"/>
      <c r="E363" s="558"/>
      <c r="F363" s="558"/>
      <c r="G363" s="558"/>
      <c r="H363" s="558"/>
      <c r="I363" s="558"/>
      <c r="J363" s="558"/>
      <c r="K363" s="558"/>
      <c r="L363" s="558"/>
      <c r="M363" s="573"/>
      <c r="N363" s="558"/>
      <c r="O363" s="558"/>
      <c r="P363" s="558"/>
    </row>
    <row r="364" spans="3:16" x14ac:dyDescent="0.2">
      <c r="C364" s="558"/>
      <c r="D364" s="558"/>
      <c r="E364" s="558"/>
      <c r="F364" s="558"/>
      <c r="G364" s="558"/>
      <c r="H364" s="558"/>
      <c r="I364" s="558"/>
      <c r="J364" s="558"/>
      <c r="K364" s="558"/>
      <c r="L364" s="558"/>
      <c r="M364" s="573"/>
      <c r="N364" s="558"/>
      <c r="O364" s="558"/>
      <c r="P364" s="558"/>
    </row>
    <row r="365" spans="3:16" x14ac:dyDescent="0.2">
      <c r="C365" s="558"/>
      <c r="D365" s="558"/>
      <c r="E365" s="558"/>
      <c r="F365" s="558"/>
      <c r="G365" s="558"/>
      <c r="H365" s="558"/>
      <c r="I365" s="558"/>
      <c r="J365" s="558"/>
      <c r="K365" s="558"/>
      <c r="L365" s="558"/>
      <c r="M365" s="573"/>
      <c r="N365" s="558"/>
      <c r="O365" s="558"/>
      <c r="P365" s="558"/>
    </row>
    <row r="366" spans="3:16" x14ac:dyDescent="0.2">
      <c r="C366" s="558"/>
      <c r="D366" s="558"/>
      <c r="E366" s="558"/>
      <c r="F366" s="558"/>
      <c r="G366" s="558"/>
      <c r="H366" s="558"/>
      <c r="I366" s="558"/>
      <c r="J366" s="558"/>
      <c r="K366" s="558"/>
      <c r="L366" s="558"/>
      <c r="M366" s="573"/>
      <c r="N366" s="558"/>
      <c r="O366" s="558"/>
      <c r="P366" s="558"/>
    </row>
    <row r="367" spans="3:16" x14ac:dyDescent="0.2">
      <c r="C367" s="558"/>
      <c r="D367" s="558"/>
      <c r="E367" s="558"/>
      <c r="F367" s="558"/>
      <c r="G367" s="558"/>
      <c r="H367" s="558"/>
      <c r="I367" s="558"/>
      <c r="J367" s="558"/>
      <c r="K367" s="558"/>
      <c r="L367" s="558"/>
      <c r="M367" s="573"/>
      <c r="N367" s="558"/>
      <c r="O367" s="558"/>
      <c r="P367" s="558"/>
    </row>
    <row r="368" spans="3:16" x14ac:dyDescent="0.2">
      <c r="C368" s="558"/>
      <c r="D368" s="558"/>
      <c r="E368" s="558"/>
      <c r="F368" s="558"/>
      <c r="G368" s="558"/>
      <c r="H368" s="558"/>
      <c r="I368" s="558"/>
      <c r="J368" s="558"/>
      <c r="K368" s="558"/>
      <c r="L368" s="558"/>
      <c r="M368" s="573"/>
      <c r="N368" s="558"/>
      <c r="O368" s="558"/>
      <c r="P368" s="558"/>
    </row>
    <row r="369" spans="3:16" x14ac:dyDescent="0.2">
      <c r="C369" s="558"/>
      <c r="D369" s="558"/>
      <c r="E369" s="558"/>
      <c r="F369" s="558"/>
      <c r="G369" s="558"/>
      <c r="H369" s="558"/>
      <c r="I369" s="558"/>
      <c r="J369" s="558"/>
      <c r="K369" s="558"/>
      <c r="L369" s="558"/>
      <c r="M369" s="573"/>
      <c r="N369" s="558"/>
      <c r="O369" s="558"/>
      <c r="P369" s="558"/>
    </row>
    <row r="370" spans="3:16" x14ac:dyDescent="0.2">
      <c r="C370" s="558"/>
      <c r="D370" s="558"/>
      <c r="E370" s="558"/>
      <c r="F370" s="558"/>
      <c r="G370" s="558"/>
      <c r="H370" s="558"/>
      <c r="I370" s="558"/>
      <c r="J370" s="558"/>
      <c r="K370" s="558"/>
      <c r="L370" s="558"/>
      <c r="M370" s="573"/>
      <c r="N370" s="558"/>
      <c r="O370" s="558"/>
      <c r="P370" s="558"/>
    </row>
    <row r="371" spans="3:16" x14ac:dyDescent="0.2">
      <c r="C371" s="558"/>
      <c r="D371" s="558"/>
      <c r="E371" s="558"/>
      <c r="F371" s="558"/>
      <c r="G371" s="558"/>
      <c r="H371" s="558"/>
      <c r="I371" s="558"/>
      <c r="J371" s="558"/>
      <c r="K371" s="558"/>
      <c r="L371" s="558"/>
      <c r="M371" s="573"/>
      <c r="N371" s="558"/>
      <c r="O371" s="558"/>
      <c r="P371" s="558"/>
    </row>
    <row r="372" spans="3:16" x14ac:dyDescent="0.2">
      <c r="C372" s="558"/>
      <c r="D372" s="558"/>
      <c r="E372" s="558"/>
      <c r="F372" s="558"/>
      <c r="G372" s="558"/>
      <c r="H372" s="558"/>
      <c r="I372" s="558"/>
      <c r="J372" s="558"/>
      <c r="K372" s="558"/>
      <c r="L372" s="558"/>
      <c r="M372" s="573"/>
      <c r="N372" s="558"/>
      <c r="O372" s="558"/>
      <c r="P372" s="558"/>
    </row>
    <row r="373" spans="3:16" x14ac:dyDescent="0.2">
      <c r="C373" s="558"/>
      <c r="D373" s="558"/>
      <c r="E373" s="558"/>
      <c r="F373" s="558"/>
      <c r="G373" s="558"/>
      <c r="H373" s="558"/>
      <c r="I373" s="558"/>
      <c r="J373" s="558"/>
      <c r="K373" s="558"/>
      <c r="L373" s="558"/>
      <c r="M373" s="573"/>
      <c r="N373" s="558"/>
      <c r="O373" s="558"/>
      <c r="P373" s="558"/>
    </row>
    <row r="374" spans="3:16" x14ac:dyDescent="0.2">
      <c r="C374" s="558"/>
      <c r="D374" s="558"/>
      <c r="E374" s="558"/>
      <c r="F374" s="558"/>
      <c r="G374" s="558"/>
      <c r="H374" s="558"/>
      <c r="I374" s="558"/>
      <c r="J374" s="558"/>
      <c r="K374" s="558"/>
      <c r="L374" s="558"/>
      <c r="M374" s="573"/>
      <c r="N374" s="558"/>
      <c r="O374" s="558"/>
      <c r="P374" s="558"/>
    </row>
    <row r="375" spans="3:16" x14ac:dyDescent="0.2">
      <c r="C375" s="558"/>
      <c r="D375" s="558"/>
      <c r="E375" s="558"/>
      <c r="F375" s="558"/>
      <c r="G375" s="558"/>
      <c r="H375" s="558"/>
      <c r="I375" s="558"/>
      <c r="J375" s="558"/>
      <c r="K375" s="558"/>
      <c r="L375" s="558"/>
      <c r="M375" s="573"/>
      <c r="N375" s="558"/>
      <c r="O375" s="558"/>
      <c r="P375" s="558"/>
    </row>
    <row r="376" spans="3:16" x14ac:dyDescent="0.2">
      <c r="C376" s="558"/>
      <c r="D376" s="558"/>
      <c r="E376" s="558"/>
      <c r="F376" s="558"/>
      <c r="G376" s="558"/>
      <c r="H376" s="558"/>
      <c r="I376" s="558"/>
      <c r="J376" s="558"/>
      <c r="K376" s="558"/>
      <c r="L376" s="558"/>
      <c r="M376" s="573"/>
      <c r="N376" s="558"/>
      <c r="O376" s="558"/>
      <c r="P376" s="558"/>
    </row>
    <row r="377" spans="3:16" x14ac:dyDescent="0.2">
      <c r="C377" s="558"/>
      <c r="D377" s="558"/>
      <c r="E377" s="558"/>
      <c r="F377" s="558"/>
      <c r="G377" s="558"/>
      <c r="H377" s="558"/>
      <c r="I377" s="558"/>
      <c r="J377" s="558"/>
      <c r="K377" s="558"/>
      <c r="L377" s="558"/>
      <c r="M377" s="573"/>
      <c r="N377" s="558"/>
      <c r="O377" s="558"/>
      <c r="P377" s="558"/>
    </row>
    <row r="378" spans="3:16" x14ac:dyDescent="0.2">
      <c r="C378" s="558"/>
      <c r="D378" s="558"/>
      <c r="E378" s="558"/>
      <c r="F378" s="558"/>
      <c r="G378" s="558"/>
      <c r="H378" s="558"/>
      <c r="I378" s="558"/>
      <c r="J378" s="558"/>
      <c r="K378" s="558"/>
      <c r="L378" s="558"/>
      <c r="M378" s="573"/>
      <c r="N378" s="558"/>
      <c r="O378" s="558"/>
      <c r="P378" s="558"/>
    </row>
    <row r="379" spans="3:16" x14ac:dyDescent="0.2">
      <c r="C379" s="558"/>
      <c r="D379" s="558"/>
      <c r="E379" s="558"/>
      <c r="F379" s="558"/>
      <c r="G379" s="558"/>
      <c r="H379" s="558"/>
      <c r="I379" s="558"/>
      <c r="J379" s="558"/>
      <c r="K379" s="558"/>
      <c r="L379" s="558"/>
      <c r="M379" s="573"/>
      <c r="N379" s="558"/>
      <c r="O379" s="558"/>
      <c r="P379" s="558"/>
    </row>
    <row r="380" spans="3:16" x14ac:dyDescent="0.2">
      <c r="C380" s="558"/>
      <c r="D380" s="558"/>
      <c r="E380" s="558"/>
      <c r="F380" s="558"/>
      <c r="G380" s="558"/>
      <c r="H380" s="558"/>
      <c r="I380" s="558"/>
      <c r="J380" s="558"/>
      <c r="K380" s="558"/>
      <c r="L380" s="558"/>
      <c r="M380" s="573"/>
      <c r="N380" s="558"/>
      <c r="O380" s="558"/>
      <c r="P380" s="558"/>
    </row>
    <row r="381" spans="3:16" x14ac:dyDescent="0.2">
      <c r="C381" s="558"/>
      <c r="D381" s="558"/>
      <c r="E381" s="558"/>
      <c r="F381" s="558"/>
      <c r="G381" s="558"/>
      <c r="H381" s="558"/>
      <c r="I381" s="558"/>
      <c r="J381" s="558"/>
      <c r="K381" s="558"/>
      <c r="L381" s="558"/>
      <c r="M381" s="573"/>
      <c r="N381" s="558"/>
      <c r="O381" s="558"/>
      <c r="P381" s="558"/>
    </row>
    <row r="382" spans="3:16" x14ac:dyDescent="0.2">
      <c r="C382" s="558"/>
      <c r="D382" s="558"/>
      <c r="E382" s="558"/>
      <c r="F382" s="558"/>
      <c r="G382" s="558"/>
      <c r="H382" s="558"/>
      <c r="I382" s="558"/>
      <c r="J382" s="558"/>
      <c r="K382" s="558"/>
      <c r="L382" s="558"/>
      <c r="M382" s="573"/>
      <c r="N382" s="558"/>
      <c r="O382" s="558"/>
      <c r="P382" s="558"/>
    </row>
    <row r="383" spans="3:16" x14ac:dyDescent="0.2">
      <c r="C383" s="558"/>
      <c r="D383" s="558"/>
      <c r="E383" s="558"/>
      <c r="F383" s="558"/>
      <c r="G383" s="558"/>
      <c r="H383" s="558"/>
      <c r="I383" s="558"/>
      <c r="J383" s="558"/>
      <c r="K383" s="558"/>
      <c r="L383" s="558"/>
      <c r="M383" s="573"/>
      <c r="N383" s="558"/>
      <c r="O383" s="558"/>
      <c r="P383" s="558"/>
    </row>
    <row r="384" spans="3:16" x14ac:dyDescent="0.2">
      <c r="C384" s="558"/>
      <c r="D384" s="558"/>
      <c r="E384" s="558"/>
      <c r="F384" s="558"/>
      <c r="G384" s="558"/>
      <c r="H384" s="558"/>
      <c r="I384" s="558"/>
      <c r="J384" s="558"/>
      <c r="K384" s="558"/>
      <c r="L384" s="558"/>
      <c r="M384" s="573"/>
      <c r="N384" s="558"/>
      <c r="O384" s="558"/>
      <c r="P384" s="558"/>
    </row>
    <row r="385" spans="3:16" x14ac:dyDescent="0.2">
      <c r="C385" s="558"/>
      <c r="D385" s="558"/>
      <c r="E385" s="558"/>
      <c r="F385" s="558"/>
      <c r="G385" s="558"/>
      <c r="H385" s="558"/>
      <c r="I385" s="558"/>
      <c r="J385" s="558"/>
      <c r="K385" s="558"/>
      <c r="L385" s="558"/>
      <c r="M385" s="573"/>
      <c r="N385" s="558"/>
      <c r="O385" s="558"/>
      <c r="P385" s="558"/>
    </row>
    <row r="386" spans="3:16" x14ac:dyDescent="0.2">
      <c r="C386" s="558"/>
      <c r="D386" s="558"/>
      <c r="E386" s="558"/>
      <c r="F386" s="558"/>
      <c r="G386" s="558"/>
      <c r="H386" s="558"/>
      <c r="I386" s="558"/>
      <c r="J386" s="558"/>
      <c r="K386" s="558"/>
      <c r="L386" s="558"/>
      <c r="M386" s="573"/>
      <c r="N386" s="558"/>
      <c r="O386" s="558"/>
      <c r="P386" s="558"/>
    </row>
    <row r="387" spans="3:16" x14ac:dyDescent="0.2">
      <c r="C387" s="558"/>
      <c r="D387" s="558"/>
      <c r="E387" s="558"/>
      <c r="F387" s="558"/>
      <c r="G387" s="558"/>
      <c r="H387" s="558"/>
      <c r="I387" s="558"/>
      <c r="J387" s="558"/>
      <c r="K387" s="558"/>
      <c r="L387" s="558"/>
      <c r="M387" s="573"/>
      <c r="N387" s="558"/>
      <c r="O387" s="558"/>
      <c r="P387" s="558"/>
    </row>
    <row r="388" spans="3:16" x14ac:dyDescent="0.2">
      <c r="C388" s="558"/>
      <c r="D388" s="558"/>
      <c r="E388" s="558"/>
      <c r="F388" s="558"/>
      <c r="G388" s="558"/>
      <c r="H388" s="558"/>
      <c r="I388" s="558"/>
      <c r="J388" s="558"/>
      <c r="K388" s="558"/>
      <c r="L388" s="558"/>
      <c r="M388" s="573"/>
      <c r="N388" s="558"/>
      <c r="O388" s="558"/>
      <c r="P388" s="558"/>
    </row>
    <row r="389" spans="3:16" x14ac:dyDescent="0.2">
      <c r="C389" s="558"/>
      <c r="D389" s="558"/>
      <c r="E389" s="558"/>
      <c r="F389" s="558"/>
      <c r="G389" s="558"/>
      <c r="H389" s="558"/>
      <c r="I389" s="558"/>
      <c r="J389" s="558"/>
      <c r="K389" s="558"/>
      <c r="L389" s="558"/>
      <c r="M389" s="573"/>
      <c r="N389" s="558"/>
      <c r="O389" s="558"/>
      <c r="P389" s="558"/>
    </row>
    <row r="390" spans="3:16" x14ac:dyDescent="0.2">
      <c r="C390" s="558"/>
      <c r="D390" s="558"/>
      <c r="E390" s="558"/>
      <c r="F390" s="558"/>
      <c r="G390" s="558"/>
      <c r="H390" s="558"/>
      <c r="I390" s="558"/>
      <c r="J390" s="558"/>
      <c r="K390" s="558"/>
      <c r="L390" s="558"/>
      <c r="M390" s="573"/>
      <c r="N390" s="558"/>
      <c r="O390" s="558"/>
      <c r="P390" s="558"/>
    </row>
    <row r="391" spans="3:16" x14ac:dyDescent="0.2">
      <c r="C391" s="558"/>
      <c r="D391" s="558"/>
      <c r="E391" s="558"/>
      <c r="F391" s="558"/>
      <c r="G391" s="558"/>
      <c r="H391" s="558"/>
      <c r="I391" s="558"/>
      <c r="J391" s="558"/>
      <c r="K391" s="558"/>
      <c r="L391" s="558"/>
      <c r="M391" s="573"/>
      <c r="N391" s="558"/>
      <c r="O391" s="558"/>
      <c r="P391" s="558"/>
    </row>
    <row r="392" spans="3:16" x14ac:dyDescent="0.2">
      <c r="C392" s="558"/>
      <c r="D392" s="558"/>
      <c r="E392" s="558"/>
      <c r="F392" s="558"/>
      <c r="G392" s="558"/>
      <c r="H392" s="558"/>
      <c r="I392" s="558"/>
      <c r="J392" s="558"/>
      <c r="K392" s="558"/>
      <c r="L392" s="558"/>
      <c r="M392" s="573"/>
      <c r="N392" s="558"/>
      <c r="O392" s="558"/>
      <c r="P392" s="558"/>
    </row>
    <row r="393" spans="3:16" x14ac:dyDescent="0.2">
      <c r="C393" s="558"/>
      <c r="D393" s="558"/>
      <c r="E393" s="558"/>
      <c r="F393" s="558"/>
      <c r="G393" s="558"/>
      <c r="H393" s="558"/>
      <c r="I393" s="558"/>
      <c r="J393" s="558"/>
      <c r="K393" s="558"/>
      <c r="L393" s="558"/>
      <c r="M393" s="573"/>
      <c r="N393" s="558"/>
      <c r="O393" s="558"/>
      <c r="P393" s="558"/>
    </row>
    <row r="394" spans="3:16" x14ac:dyDescent="0.2">
      <c r="C394" s="558"/>
      <c r="D394" s="558"/>
      <c r="E394" s="558"/>
      <c r="F394" s="558"/>
      <c r="G394" s="558"/>
      <c r="H394" s="558"/>
      <c r="I394" s="558"/>
      <c r="J394" s="558"/>
      <c r="K394" s="558"/>
      <c r="L394" s="558"/>
      <c r="M394" s="573"/>
      <c r="N394" s="558"/>
      <c r="O394" s="558"/>
      <c r="P394" s="558"/>
    </row>
    <row r="395" spans="3:16" x14ac:dyDescent="0.2">
      <c r="C395" s="558"/>
      <c r="D395" s="558"/>
      <c r="E395" s="558"/>
      <c r="F395" s="558"/>
      <c r="G395" s="558"/>
      <c r="H395" s="558"/>
      <c r="I395" s="558"/>
      <c r="J395" s="558"/>
      <c r="K395" s="558"/>
      <c r="L395" s="558"/>
      <c r="M395" s="573"/>
      <c r="N395" s="558"/>
      <c r="O395" s="558"/>
      <c r="P395" s="558"/>
    </row>
    <row r="396" spans="3:16" x14ac:dyDescent="0.2">
      <c r="C396" s="558"/>
      <c r="D396" s="558"/>
      <c r="E396" s="558"/>
      <c r="F396" s="558"/>
      <c r="G396" s="558"/>
      <c r="H396" s="558"/>
      <c r="I396" s="558"/>
      <c r="J396" s="558"/>
      <c r="K396" s="558"/>
      <c r="L396" s="558"/>
      <c r="M396" s="573"/>
      <c r="N396" s="558"/>
      <c r="O396" s="558"/>
      <c r="P396" s="558"/>
    </row>
    <row r="397" spans="3:16" x14ac:dyDescent="0.2">
      <c r="C397" s="558"/>
      <c r="D397" s="558"/>
      <c r="E397" s="558"/>
      <c r="F397" s="558"/>
      <c r="G397" s="558"/>
      <c r="H397" s="558"/>
      <c r="I397" s="558"/>
      <c r="J397" s="558"/>
      <c r="K397" s="558"/>
      <c r="L397" s="558"/>
      <c r="M397" s="573"/>
      <c r="N397" s="558"/>
      <c r="O397" s="558"/>
      <c r="P397" s="558"/>
    </row>
    <row r="398" spans="3:16" x14ac:dyDescent="0.2">
      <c r="C398" s="558"/>
      <c r="D398" s="558"/>
      <c r="E398" s="558"/>
      <c r="F398" s="558"/>
      <c r="G398" s="558"/>
      <c r="H398" s="558"/>
      <c r="I398" s="558"/>
      <c r="J398" s="558"/>
      <c r="K398" s="558"/>
      <c r="L398" s="558"/>
      <c r="M398" s="573"/>
      <c r="N398" s="558"/>
      <c r="O398" s="558"/>
      <c r="P398" s="558"/>
    </row>
    <row r="399" spans="3:16" x14ac:dyDescent="0.2">
      <c r="C399" s="558"/>
      <c r="D399" s="558"/>
      <c r="E399" s="558"/>
      <c r="F399" s="558"/>
      <c r="G399" s="558"/>
      <c r="H399" s="558"/>
      <c r="I399" s="558"/>
      <c r="J399" s="558"/>
      <c r="K399" s="558"/>
      <c r="L399" s="558"/>
      <c r="M399" s="573"/>
      <c r="N399" s="558"/>
      <c r="O399" s="558"/>
      <c r="P399" s="558"/>
    </row>
    <row r="400" spans="3:16" x14ac:dyDescent="0.2">
      <c r="C400" s="558"/>
      <c r="D400" s="558"/>
      <c r="E400" s="558"/>
      <c r="F400" s="558"/>
      <c r="G400" s="558"/>
      <c r="H400" s="558"/>
      <c r="I400" s="558"/>
      <c r="J400" s="558"/>
      <c r="K400" s="558"/>
      <c r="L400" s="558"/>
      <c r="M400" s="573"/>
      <c r="N400" s="558"/>
      <c r="O400" s="558"/>
      <c r="P400" s="558"/>
    </row>
    <row r="401" spans="3:16" x14ac:dyDescent="0.2">
      <c r="C401" s="558"/>
      <c r="D401" s="558"/>
      <c r="E401" s="558"/>
      <c r="F401" s="558"/>
      <c r="G401" s="558"/>
      <c r="H401" s="558"/>
      <c r="I401" s="558"/>
      <c r="J401" s="558"/>
      <c r="K401" s="558"/>
      <c r="L401" s="558"/>
      <c r="M401" s="573"/>
      <c r="N401" s="558"/>
      <c r="O401" s="558"/>
      <c r="P401" s="558"/>
    </row>
    <row r="402" spans="3:16" x14ac:dyDescent="0.2">
      <c r="C402" s="558"/>
      <c r="D402" s="558"/>
      <c r="E402" s="558"/>
      <c r="F402" s="558"/>
      <c r="G402" s="558"/>
      <c r="H402" s="558"/>
      <c r="I402" s="558"/>
      <c r="J402" s="558"/>
      <c r="K402" s="558"/>
      <c r="L402" s="558"/>
      <c r="M402" s="573"/>
      <c r="N402" s="558"/>
      <c r="O402" s="558"/>
      <c r="P402" s="558"/>
    </row>
    <row r="403" spans="3:16" x14ac:dyDescent="0.2">
      <c r="C403" s="558"/>
      <c r="D403" s="558"/>
      <c r="E403" s="558"/>
      <c r="F403" s="558"/>
      <c r="G403" s="558"/>
      <c r="H403" s="558"/>
      <c r="I403" s="558"/>
      <c r="J403" s="558"/>
      <c r="K403" s="558"/>
      <c r="L403" s="558"/>
      <c r="M403" s="573"/>
      <c r="N403" s="558"/>
      <c r="O403" s="558"/>
      <c r="P403" s="558"/>
    </row>
    <row r="404" spans="3:16" x14ac:dyDescent="0.2">
      <c r="C404" s="558"/>
      <c r="D404" s="558"/>
      <c r="E404" s="558"/>
      <c r="F404" s="558"/>
      <c r="G404" s="558"/>
      <c r="H404" s="558"/>
      <c r="I404" s="558"/>
      <c r="J404" s="558"/>
      <c r="K404" s="558"/>
      <c r="L404" s="558"/>
      <c r="M404" s="573"/>
      <c r="N404" s="558"/>
      <c r="O404" s="558"/>
      <c r="P404" s="558"/>
    </row>
    <row r="405" spans="3:16" x14ac:dyDescent="0.2">
      <c r="C405" s="558"/>
      <c r="D405" s="558"/>
      <c r="E405" s="558"/>
      <c r="F405" s="558"/>
      <c r="G405" s="558"/>
      <c r="H405" s="558"/>
      <c r="I405" s="558"/>
      <c r="J405" s="558"/>
      <c r="K405" s="558"/>
      <c r="L405" s="558"/>
      <c r="M405" s="573"/>
      <c r="N405" s="558"/>
      <c r="O405" s="558"/>
      <c r="P405" s="558"/>
    </row>
    <row r="406" spans="3:16" x14ac:dyDescent="0.2">
      <c r="C406" s="558"/>
      <c r="D406" s="558"/>
      <c r="E406" s="558"/>
      <c r="F406" s="558"/>
      <c r="G406" s="558"/>
      <c r="H406" s="558"/>
      <c r="I406" s="558"/>
      <c r="J406" s="558"/>
      <c r="K406" s="558"/>
      <c r="L406" s="558"/>
      <c r="M406" s="573"/>
      <c r="N406" s="558"/>
      <c r="O406" s="558"/>
      <c r="P406" s="558"/>
    </row>
    <row r="407" spans="3:16" x14ac:dyDescent="0.2">
      <c r="C407" s="558"/>
      <c r="D407" s="558"/>
      <c r="E407" s="558"/>
      <c r="F407" s="558"/>
      <c r="G407" s="558"/>
      <c r="H407" s="558"/>
      <c r="I407" s="558"/>
      <c r="J407" s="558"/>
      <c r="K407" s="558"/>
      <c r="L407" s="558"/>
      <c r="M407" s="573"/>
      <c r="N407" s="558"/>
      <c r="O407" s="558"/>
      <c r="P407" s="558"/>
    </row>
    <row r="408" spans="3:16" x14ac:dyDescent="0.2">
      <c r="C408" s="558"/>
      <c r="D408" s="558"/>
      <c r="E408" s="558"/>
      <c r="F408" s="558"/>
      <c r="G408" s="558"/>
      <c r="H408" s="558"/>
      <c r="I408" s="558"/>
      <c r="J408" s="558"/>
      <c r="K408" s="558"/>
      <c r="L408" s="558"/>
      <c r="M408" s="573"/>
      <c r="N408" s="558"/>
      <c r="O408" s="558"/>
      <c r="P408" s="558"/>
    </row>
    <row r="409" spans="3:16" x14ac:dyDescent="0.2">
      <c r="C409" s="558"/>
      <c r="D409" s="558"/>
      <c r="E409" s="558"/>
      <c r="F409" s="558"/>
      <c r="G409" s="558"/>
      <c r="H409" s="558"/>
      <c r="I409" s="558"/>
      <c r="J409" s="558"/>
      <c r="K409" s="558"/>
      <c r="L409" s="558"/>
      <c r="M409" s="573"/>
      <c r="N409" s="558"/>
      <c r="O409" s="558"/>
      <c r="P409" s="558"/>
    </row>
    <row r="410" spans="3:16" x14ac:dyDescent="0.2">
      <c r="C410" s="558"/>
      <c r="D410" s="558"/>
      <c r="E410" s="558"/>
      <c r="F410" s="558"/>
      <c r="G410" s="558"/>
      <c r="H410" s="558"/>
      <c r="I410" s="558"/>
      <c r="J410" s="558"/>
      <c r="K410" s="558"/>
      <c r="L410" s="558"/>
      <c r="M410" s="573"/>
      <c r="N410" s="558"/>
      <c r="O410" s="558"/>
      <c r="P410" s="558"/>
    </row>
    <row r="411" spans="3:16" x14ac:dyDescent="0.2">
      <c r="C411" s="558"/>
      <c r="D411" s="558"/>
      <c r="E411" s="558"/>
      <c r="F411" s="558"/>
      <c r="G411" s="558"/>
      <c r="H411" s="558"/>
      <c r="I411" s="558"/>
      <c r="J411" s="558"/>
      <c r="K411" s="558"/>
      <c r="L411" s="558"/>
      <c r="M411" s="573"/>
      <c r="N411" s="558"/>
      <c r="O411" s="558"/>
      <c r="P411" s="558"/>
    </row>
    <row r="412" spans="3:16" x14ac:dyDescent="0.2">
      <c r="C412" s="558"/>
      <c r="D412" s="558"/>
      <c r="E412" s="558"/>
      <c r="F412" s="558"/>
      <c r="G412" s="558"/>
      <c r="H412" s="558"/>
      <c r="I412" s="558"/>
      <c r="J412" s="558"/>
      <c r="K412" s="558"/>
      <c r="L412" s="558"/>
      <c r="M412" s="573"/>
      <c r="N412" s="558"/>
      <c r="O412" s="558"/>
      <c r="P412" s="558"/>
    </row>
    <row r="413" spans="3:16" x14ac:dyDescent="0.2">
      <c r="C413" s="558"/>
      <c r="D413" s="558"/>
      <c r="E413" s="558"/>
      <c r="F413" s="558"/>
      <c r="G413" s="558"/>
      <c r="H413" s="558"/>
      <c r="I413" s="558"/>
      <c r="J413" s="558"/>
      <c r="K413" s="558"/>
      <c r="L413" s="558"/>
      <c r="M413" s="573"/>
      <c r="N413" s="558"/>
      <c r="O413" s="558"/>
      <c r="P413" s="558"/>
    </row>
    <row r="414" spans="3:16" x14ac:dyDescent="0.2">
      <c r="C414" s="558"/>
      <c r="D414" s="558"/>
      <c r="E414" s="558"/>
      <c r="F414" s="558"/>
      <c r="G414" s="558"/>
      <c r="H414" s="558"/>
      <c r="I414" s="558"/>
      <c r="J414" s="558"/>
      <c r="K414" s="558"/>
      <c r="L414" s="558"/>
      <c r="M414" s="573"/>
      <c r="N414" s="558"/>
      <c r="O414" s="558"/>
      <c r="P414" s="558"/>
    </row>
    <row r="415" spans="3:16" x14ac:dyDescent="0.2">
      <c r="C415" s="558"/>
      <c r="D415" s="558"/>
      <c r="E415" s="558"/>
      <c r="F415" s="558"/>
      <c r="G415" s="558"/>
      <c r="H415" s="558"/>
      <c r="I415" s="558"/>
      <c r="J415" s="558"/>
      <c r="K415" s="558"/>
      <c r="L415" s="558"/>
      <c r="M415" s="573"/>
      <c r="N415" s="558"/>
      <c r="O415" s="558"/>
      <c r="P415" s="558"/>
    </row>
    <row r="416" spans="3:16" x14ac:dyDescent="0.2">
      <c r="C416" s="558"/>
      <c r="D416" s="558"/>
      <c r="E416" s="558"/>
      <c r="F416" s="558"/>
      <c r="G416" s="558"/>
      <c r="H416" s="558"/>
      <c r="I416" s="558"/>
      <c r="J416" s="558"/>
      <c r="K416" s="558"/>
      <c r="L416" s="558"/>
      <c r="M416" s="573"/>
      <c r="N416" s="558"/>
      <c r="O416" s="558"/>
      <c r="P416" s="558"/>
    </row>
    <row r="417" spans="3:16" x14ac:dyDescent="0.2">
      <c r="C417" s="558"/>
      <c r="D417" s="558"/>
      <c r="E417" s="558"/>
      <c r="F417" s="558"/>
      <c r="G417" s="558"/>
      <c r="H417" s="558"/>
      <c r="I417" s="558"/>
      <c r="J417" s="558"/>
      <c r="K417" s="558"/>
      <c r="L417" s="558"/>
      <c r="M417" s="573"/>
      <c r="N417" s="558"/>
      <c r="O417" s="558"/>
      <c r="P417" s="558"/>
    </row>
    <row r="418" spans="3:16" x14ac:dyDescent="0.2">
      <c r="C418" s="558"/>
      <c r="D418" s="558"/>
      <c r="E418" s="558"/>
      <c r="F418" s="558"/>
      <c r="G418" s="558"/>
      <c r="H418" s="558"/>
      <c r="I418" s="558"/>
      <c r="J418" s="558"/>
      <c r="K418" s="558"/>
      <c r="L418" s="558"/>
      <c r="M418" s="573"/>
      <c r="N418" s="558"/>
      <c r="O418" s="558"/>
      <c r="P418" s="558"/>
    </row>
    <row r="419" spans="3:16" x14ac:dyDescent="0.2">
      <c r="C419" s="558"/>
      <c r="D419" s="558"/>
      <c r="E419" s="558"/>
      <c r="F419" s="558"/>
      <c r="G419" s="558"/>
      <c r="H419" s="558"/>
      <c r="I419" s="558"/>
      <c r="J419" s="558"/>
      <c r="K419" s="558"/>
      <c r="L419" s="558"/>
      <c r="M419" s="573"/>
      <c r="N419" s="558"/>
      <c r="O419" s="558"/>
      <c r="P419" s="558"/>
    </row>
    <row r="420" spans="3:16" x14ac:dyDescent="0.2">
      <c r="C420" s="558"/>
      <c r="D420" s="558"/>
      <c r="E420" s="558"/>
      <c r="F420" s="558"/>
      <c r="G420" s="558"/>
      <c r="H420" s="558"/>
      <c r="I420" s="558"/>
      <c r="J420" s="558"/>
      <c r="K420" s="558"/>
      <c r="L420" s="558"/>
      <c r="M420" s="573"/>
      <c r="N420" s="558"/>
      <c r="O420" s="558"/>
      <c r="P420" s="558"/>
    </row>
    <row r="421" spans="3:16" x14ac:dyDescent="0.2">
      <c r="C421" s="558"/>
      <c r="D421" s="558"/>
      <c r="E421" s="558"/>
      <c r="F421" s="558"/>
      <c r="G421" s="558"/>
      <c r="H421" s="558"/>
      <c r="I421" s="558"/>
      <c r="J421" s="558"/>
      <c r="K421" s="558"/>
      <c r="L421" s="558"/>
      <c r="M421" s="573"/>
      <c r="N421" s="558"/>
      <c r="O421" s="558"/>
      <c r="P421" s="558"/>
    </row>
    <row r="422" spans="3:16" x14ac:dyDescent="0.2">
      <c r="C422" s="558"/>
      <c r="D422" s="558"/>
      <c r="E422" s="558"/>
      <c r="F422" s="558"/>
      <c r="G422" s="558"/>
      <c r="H422" s="558"/>
      <c r="I422" s="558"/>
      <c r="J422" s="558"/>
      <c r="K422" s="558"/>
      <c r="L422" s="558"/>
      <c r="M422" s="573"/>
      <c r="N422" s="558"/>
      <c r="O422" s="558"/>
      <c r="P422" s="558"/>
    </row>
    <row r="423" spans="3:16" x14ac:dyDescent="0.2">
      <c r="C423" s="558"/>
      <c r="D423" s="558"/>
      <c r="E423" s="558"/>
      <c r="F423" s="558"/>
      <c r="G423" s="558"/>
      <c r="H423" s="558"/>
      <c r="I423" s="558"/>
      <c r="J423" s="558"/>
      <c r="K423" s="558"/>
      <c r="L423" s="558"/>
      <c r="M423" s="573"/>
      <c r="N423" s="558"/>
      <c r="O423" s="558"/>
      <c r="P423" s="558"/>
    </row>
    <row r="424" spans="3:16" x14ac:dyDescent="0.2">
      <c r="C424" s="558"/>
      <c r="D424" s="558"/>
      <c r="E424" s="558"/>
      <c r="F424" s="558"/>
      <c r="G424" s="558"/>
      <c r="H424" s="558"/>
      <c r="I424" s="558"/>
      <c r="J424" s="558"/>
      <c r="K424" s="558"/>
      <c r="L424" s="558"/>
      <c r="M424" s="573"/>
      <c r="N424" s="558"/>
      <c r="O424" s="558"/>
      <c r="P424" s="558"/>
    </row>
    <row r="425" spans="3:16" x14ac:dyDescent="0.2">
      <c r="C425" s="558"/>
      <c r="D425" s="558"/>
      <c r="E425" s="558"/>
      <c r="F425" s="558"/>
      <c r="G425" s="558"/>
      <c r="H425" s="558"/>
      <c r="I425" s="558"/>
      <c r="J425" s="558"/>
      <c r="K425" s="558"/>
      <c r="L425" s="558"/>
      <c r="M425" s="573"/>
      <c r="N425" s="558"/>
      <c r="O425" s="558"/>
      <c r="P425" s="558"/>
    </row>
    <row r="426" spans="3:16" x14ac:dyDescent="0.2">
      <c r="C426" s="558"/>
      <c r="D426" s="558"/>
      <c r="E426" s="558"/>
      <c r="F426" s="558"/>
      <c r="G426" s="558"/>
      <c r="H426" s="558"/>
      <c r="I426" s="558"/>
      <c r="J426" s="558"/>
      <c r="K426" s="558"/>
      <c r="L426" s="558"/>
      <c r="M426" s="573"/>
      <c r="N426" s="558"/>
      <c r="O426" s="558"/>
      <c r="P426" s="558"/>
    </row>
    <row r="427" spans="3:16" x14ac:dyDescent="0.2">
      <c r="C427" s="558"/>
      <c r="D427" s="558"/>
      <c r="E427" s="558"/>
      <c r="F427" s="558"/>
      <c r="G427" s="558"/>
      <c r="H427" s="558"/>
      <c r="I427" s="558"/>
      <c r="J427" s="558"/>
      <c r="K427" s="558"/>
      <c r="L427" s="558"/>
      <c r="M427" s="573"/>
      <c r="N427" s="558"/>
      <c r="O427" s="558"/>
      <c r="P427" s="558"/>
    </row>
    <row r="428" spans="3:16" x14ac:dyDescent="0.2">
      <c r="C428" s="558"/>
      <c r="D428" s="558"/>
      <c r="E428" s="558"/>
      <c r="F428" s="558"/>
      <c r="G428" s="558"/>
      <c r="H428" s="558"/>
      <c r="I428" s="558"/>
      <c r="J428" s="558"/>
      <c r="K428" s="558"/>
      <c r="L428" s="558"/>
      <c r="M428" s="573"/>
      <c r="N428" s="558"/>
      <c r="O428" s="558"/>
      <c r="P428" s="558"/>
    </row>
    <row r="429" spans="3:16" x14ac:dyDescent="0.2">
      <c r="C429" s="558"/>
      <c r="D429" s="558"/>
      <c r="E429" s="558"/>
      <c r="F429" s="558"/>
      <c r="G429" s="558"/>
      <c r="H429" s="558"/>
      <c r="I429" s="558"/>
      <c r="J429" s="558"/>
      <c r="K429" s="558"/>
      <c r="L429" s="558"/>
      <c r="M429" s="573"/>
      <c r="N429" s="558"/>
      <c r="O429" s="558"/>
      <c r="P429" s="558"/>
    </row>
    <row r="430" spans="3:16" x14ac:dyDescent="0.2">
      <c r="C430" s="558"/>
      <c r="D430" s="558"/>
      <c r="E430" s="558"/>
      <c r="F430" s="558"/>
      <c r="G430" s="558"/>
      <c r="H430" s="558"/>
      <c r="I430" s="558"/>
      <c r="J430" s="558"/>
      <c r="K430" s="558"/>
      <c r="L430" s="558"/>
      <c r="M430" s="573"/>
      <c r="N430" s="558"/>
      <c r="O430" s="558"/>
      <c r="P430" s="558"/>
    </row>
    <row r="431" spans="3:16" x14ac:dyDescent="0.2">
      <c r="C431" s="558"/>
      <c r="D431" s="558"/>
      <c r="E431" s="558"/>
      <c r="F431" s="558"/>
      <c r="G431" s="558"/>
      <c r="H431" s="558"/>
      <c r="I431" s="558"/>
      <c r="J431" s="558"/>
      <c r="K431" s="558"/>
      <c r="L431" s="558"/>
      <c r="M431" s="573"/>
      <c r="N431" s="558"/>
      <c r="O431" s="558"/>
      <c r="P431" s="558"/>
    </row>
    <row r="432" spans="3:16" x14ac:dyDescent="0.2">
      <c r="C432" s="558"/>
      <c r="D432" s="558"/>
      <c r="E432" s="558"/>
      <c r="F432" s="558"/>
      <c r="G432" s="558"/>
      <c r="H432" s="558"/>
      <c r="I432" s="558"/>
      <c r="J432" s="558"/>
      <c r="K432" s="558"/>
      <c r="L432" s="558"/>
      <c r="M432" s="573"/>
      <c r="N432" s="558"/>
      <c r="O432" s="558"/>
      <c r="P432" s="558"/>
    </row>
    <row r="433" spans="3:16" x14ac:dyDescent="0.2">
      <c r="C433" s="558"/>
      <c r="D433" s="558"/>
      <c r="E433" s="558"/>
      <c r="F433" s="558"/>
      <c r="G433" s="558"/>
      <c r="H433" s="558"/>
      <c r="I433" s="558"/>
      <c r="J433" s="558"/>
      <c r="K433" s="558"/>
      <c r="L433" s="558"/>
      <c r="M433" s="573"/>
      <c r="N433" s="558"/>
      <c r="O433" s="558"/>
      <c r="P433" s="558"/>
    </row>
    <row r="434" spans="3:16" x14ac:dyDescent="0.2">
      <c r="C434" s="558"/>
      <c r="D434" s="558"/>
      <c r="E434" s="558"/>
      <c r="F434" s="558"/>
      <c r="G434" s="558"/>
      <c r="H434" s="558"/>
      <c r="I434" s="558"/>
      <c r="J434" s="558"/>
      <c r="K434" s="558"/>
      <c r="L434" s="558"/>
      <c r="M434" s="573"/>
      <c r="N434" s="558"/>
      <c r="O434" s="558"/>
      <c r="P434" s="558"/>
    </row>
    <row r="435" spans="3:16" x14ac:dyDescent="0.2">
      <c r="C435" s="558"/>
      <c r="D435" s="558"/>
      <c r="E435" s="558"/>
      <c r="F435" s="558"/>
      <c r="G435" s="558"/>
      <c r="H435" s="558"/>
      <c r="I435" s="558"/>
      <c r="J435" s="558"/>
      <c r="K435" s="558"/>
      <c r="L435" s="558"/>
      <c r="M435" s="573"/>
      <c r="N435" s="558"/>
      <c r="O435" s="558"/>
      <c r="P435" s="558"/>
    </row>
    <row r="436" spans="3:16" x14ac:dyDescent="0.2">
      <c r="C436" s="558"/>
      <c r="D436" s="558"/>
      <c r="E436" s="558"/>
      <c r="F436" s="558"/>
      <c r="G436" s="558"/>
      <c r="H436" s="558"/>
      <c r="I436" s="558"/>
      <c r="J436" s="558"/>
      <c r="K436" s="558"/>
      <c r="L436" s="558"/>
      <c r="M436" s="573"/>
      <c r="N436" s="558"/>
      <c r="O436" s="558"/>
      <c r="P436" s="558"/>
    </row>
    <row r="437" spans="3:16" x14ac:dyDescent="0.2">
      <c r="C437" s="558"/>
      <c r="D437" s="558"/>
      <c r="E437" s="558"/>
      <c r="F437" s="558"/>
      <c r="G437" s="558"/>
      <c r="H437" s="558"/>
      <c r="I437" s="558"/>
      <c r="J437" s="558"/>
      <c r="K437" s="558"/>
      <c r="L437" s="558"/>
      <c r="M437" s="573"/>
      <c r="N437" s="558"/>
      <c r="O437" s="558"/>
      <c r="P437" s="558"/>
    </row>
    <row r="438" spans="3:16" x14ac:dyDescent="0.2">
      <c r="C438" s="558"/>
      <c r="D438" s="558"/>
      <c r="E438" s="558"/>
      <c r="F438" s="558"/>
      <c r="G438" s="558"/>
      <c r="H438" s="558"/>
      <c r="I438" s="558"/>
      <c r="J438" s="558"/>
      <c r="K438" s="558"/>
      <c r="L438" s="558"/>
      <c r="M438" s="573"/>
      <c r="N438" s="558"/>
      <c r="O438" s="558"/>
      <c r="P438" s="558"/>
    </row>
    <row r="439" spans="3:16" x14ac:dyDescent="0.2">
      <c r="C439" s="558"/>
      <c r="D439" s="558"/>
      <c r="E439" s="558"/>
      <c r="F439" s="558"/>
      <c r="G439" s="558"/>
      <c r="H439" s="558"/>
      <c r="I439" s="558"/>
      <c r="J439" s="558"/>
      <c r="K439" s="558"/>
      <c r="L439" s="558"/>
      <c r="M439" s="573"/>
      <c r="N439" s="558"/>
      <c r="O439" s="558"/>
      <c r="P439" s="558"/>
    </row>
    <row r="440" spans="3:16" x14ac:dyDescent="0.2">
      <c r="C440" s="558"/>
      <c r="D440" s="558"/>
      <c r="E440" s="558"/>
      <c r="F440" s="558"/>
      <c r="G440" s="558"/>
      <c r="H440" s="558"/>
      <c r="I440" s="558"/>
      <c r="J440" s="558"/>
      <c r="K440" s="558"/>
      <c r="L440" s="558"/>
      <c r="M440" s="573"/>
      <c r="N440" s="558"/>
      <c r="O440" s="558"/>
      <c r="P440" s="558"/>
    </row>
    <row r="441" spans="3:16" x14ac:dyDescent="0.2">
      <c r="C441" s="558"/>
      <c r="D441" s="558"/>
      <c r="E441" s="558"/>
      <c r="F441" s="558"/>
      <c r="G441" s="558"/>
      <c r="H441" s="558"/>
      <c r="I441" s="558"/>
      <c r="J441" s="558"/>
      <c r="K441" s="558"/>
      <c r="L441" s="558"/>
      <c r="M441" s="573"/>
      <c r="N441" s="558"/>
      <c r="O441" s="558"/>
      <c r="P441" s="558"/>
    </row>
    <row r="442" spans="3:16" x14ac:dyDescent="0.2">
      <c r="C442" s="558"/>
      <c r="D442" s="558"/>
      <c r="E442" s="558"/>
      <c r="F442" s="558"/>
      <c r="G442" s="558"/>
      <c r="H442" s="558"/>
      <c r="I442" s="558"/>
      <c r="J442" s="558"/>
      <c r="K442" s="558"/>
      <c r="L442" s="558"/>
      <c r="M442" s="573"/>
      <c r="N442" s="558"/>
      <c r="O442" s="558"/>
      <c r="P442" s="558"/>
    </row>
    <row r="443" spans="3:16" x14ac:dyDescent="0.2">
      <c r="C443" s="558"/>
      <c r="D443" s="558"/>
      <c r="E443" s="558"/>
      <c r="F443" s="558"/>
      <c r="G443" s="558"/>
      <c r="H443" s="558"/>
      <c r="I443" s="558"/>
      <c r="J443" s="558"/>
      <c r="K443" s="558"/>
      <c r="L443" s="558"/>
      <c r="M443" s="573"/>
      <c r="N443" s="558"/>
      <c r="O443" s="558"/>
      <c r="P443" s="558"/>
    </row>
    <row r="444" spans="3:16" x14ac:dyDescent="0.2">
      <c r="C444" s="558"/>
      <c r="D444" s="558"/>
      <c r="E444" s="558"/>
      <c r="F444" s="558"/>
      <c r="G444" s="558"/>
      <c r="H444" s="558"/>
      <c r="I444" s="558"/>
      <c r="J444" s="558"/>
      <c r="K444" s="558"/>
      <c r="L444" s="558"/>
      <c r="M444" s="573"/>
      <c r="N444" s="558"/>
      <c r="O444" s="558"/>
      <c r="P444" s="558"/>
    </row>
    <row r="445" spans="3:16" x14ac:dyDescent="0.2">
      <c r="C445" s="558"/>
      <c r="D445" s="558"/>
      <c r="E445" s="558"/>
      <c r="F445" s="558"/>
      <c r="G445" s="558"/>
      <c r="H445" s="558"/>
      <c r="I445" s="558"/>
      <c r="J445" s="558"/>
      <c r="K445" s="558"/>
      <c r="L445" s="558"/>
      <c r="M445" s="573"/>
      <c r="N445" s="558"/>
      <c r="O445" s="558"/>
      <c r="P445" s="558"/>
    </row>
    <row r="446" spans="3:16" x14ac:dyDescent="0.2">
      <c r="C446" s="558"/>
      <c r="D446" s="558"/>
      <c r="E446" s="558"/>
      <c r="F446" s="558"/>
      <c r="G446" s="558"/>
      <c r="H446" s="558"/>
      <c r="I446" s="558"/>
      <c r="J446" s="558"/>
      <c r="K446" s="558"/>
      <c r="L446" s="558"/>
      <c r="M446" s="573"/>
      <c r="N446" s="558"/>
      <c r="O446" s="558"/>
      <c r="P446" s="558"/>
    </row>
    <row r="447" spans="3:16" x14ac:dyDescent="0.2">
      <c r="C447" s="558"/>
      <c r="D447" s="558"/>
      <c r="E447" s="558"/>
      <c r="F447" s="558"/>
      <c r="G447" s="558"/>
      <c r="H447" s="558"/>
      <c r="I447" s="558"/>
      <c r="J447" s="558"/>
      <c r="K447" s="558"/>
      <c r="L447" s="558"/>
      <c r="M447" s="573"/>
      <c r="N447" s="558"/>
      <c r="O447" s="558"/>
      <c r="P447" s="558"/>
    </row>
    <row r="448" spans="3:16" x14ac:dyDescent="0.2">
      <c r="C448" s="558"/>
      <c r="D448" s="558"/>
      <c r="E448" s="558"/>
      <c r="F448" s="558"/>
      <c r="G448" s="558"/>
      <c r="H448" s="558"/>
      <c r="I448" s="558"/>
      <c r="J448" s="558"/>
      <c r="K448" s="558"/>
      <c r="L448" s="558"/>
      <c r="M448" s="573"/>
      <c r="N448" s="558"/>
      <c r="O448" s="558"/>
      <c r="P448" s="558"/>
    </row>
    <row r="449" spans="3:16" x14ac:dyDescent="0.2">
      <c r="C449" s="558"/>
      <c r="D449" s="558"/>
      <c r="E449" s="558"/>
      <c r="F449" s="558"/>
      <c r="G449" s="558"/>
      <c r="H449" s="558"/>
      <c r="I449" s="558"/>
      <c r="J449" s="558"/>
      <c r="K449" s="558"/>
      <c r="L449" s="558"/>
      <c r="M449" s="573"/>
      <c r="N449" s="558"/>
      <c r="O449" s="558"/>
      <c r="P449" s="558"/>
    </row>
    <row r="450" spans="3:16" x14ac:dyDescent="0.2">
      <c r="C450" s="558"/>
      <c r="D450" s="558"/>
      <c r="E450" s="558"/>
      <c r="F450" s="558"/>
      <c r="G450" s="558"/>
      <c r="H450" s="558"/>
      <c r="I450" s="558"/>
      <c r="J450" s="558"/>
      <c r="K450" s="558"/>
      <c r="L450" s="558"/>
      <c r="M450" s="573"/>
      <c r="N450" s="558"/>
      <c r="O450" s="558"/>
      <c r="P450" s="558"/>
    </row>
    <row r="451" spans="3:16" x14ac:dyDescent="0.2">
      <c r="C451" s="558"/>
      <c r="D451" s="558"/>
      <c r="E451" s="558"/>
      <c r="F451" s="558"/>
      <c r="G451" s="558"/>
      <c r="H451" s="558"/>
      <c r="I451" s="558"/>
      <c r="J451" s="558"/>
      <c r="K451" s="558"/>
      <c r="L451" s="558"/>
      <c r="M451" s="573"/>
      <c r="N451" s="558"/>
      <c r="O451" s="558"/>
      <c r="P451" s="558"/>
    </row>
    <row r="452" spans="3:16" x14ac:dyDescent="0.2">
      <c r="C452" s="558"/>
      <c r="D452" s="558"/>
      <c r="E452" s="558"/>
      <c r="F452" s="558"/>
      <c r="G452" s="558"/>
      <c r="H452" s="558"/>
      <c r="I452" s="558"/>
      <c r="J452" s="558"/>
      <c r="K452" s="558"/>
      <c r="L452" s="558"/>
      <c r="M452" s="573"/>
      <c r="N452" s="558"/>
      <c r="O452" s="558"/>
      <c r="P452" s="558"/>
    </row>
    <row r="453" spans="3:16" x14ac:dyDescent="0.2">
      <c r="C453" s="558"/>
      <c r="D453" s="558"/>
      <c r="E453" s="558"/>
      <c r="F453" s="558"/>
      <c r="G453" s="558"/>
      <c r="H453" s="558"/>
      <c r="I453" s="558"/>
      <c r="J453" s="558"/>
      <c r="K453" s="558"/>
      <c r="L453" s="558"/>
      <c r="M453" s="573"/>
      <c r="N453" s="558"/>
      <c r="O453" s="558"/>
      <c r="P453" s="558"/>
    </row>
    <row r="454" spans="3:16" x14ac:dyDescent="0.2">
      <c r="C454" s="558"/>
      <c r="D454" s="558"/>
      <c r="E454" s="558"/>
      <c r="F454" s="558"/>
      <c r="G454" s="558"/>
      <c r="H454" s="558"/>
      <c r="I454" s="558"/>
      <c r="J454" s="558"/>
      <c r="K454" s="558"/>
      <c r="L454" s="558"/>
      <c r="M454" s="573"/>
      <c r="N454" s="558"/>
      <c r="O454" s="558"/>
      <c r="P454" s="558"/>
    </row>
    <row r="455" spans="3:16" x14ac:dyDescent="0.2">
      <c r="C455" s="558"/>
      <c r="D455" s="558"/>
      <c r="E455" s="558"/>
      <c r="F455" s="558"/>
      <c r="G455" s="558"/>
      <c r="H455" s="558"/>
      <c r="I455" s="558"/>
      <c r="J455" s="558"/>
      <c r="K455" s="558"/>
      <c r="L455" s="558"/>
      <c r="M455" s="573"/>
      <c r="N455" s="558"/>
      <c r="O455" s="558"/>
      <c r="P455" s="558"/>
    </row>
    <row r="456" spans="3:16" x14ac:dyDescent="0.2">
      <c r="C456" s="558"/>
      <c r="D456" s="558"/>
      <c r="E456" s="558"/>
      <c r="F456" s="558"/>
      <c r="G456" s="558"/>
      <c r="H456" s="558"/>
      <c r="I456" s="558"/>
      <c r="J456" s="558"/>
      <c r="K456" s="558"/>
      <c r="L456" s="558"/>
      <c r="M456" s="573"/>
      <c r="N456" s="558"/>
      <c r="O456" s="558"/>
      <c r="P456" s="558"/>
    </row>
    <row r="457" spans="3:16" x14ac:dyDescent="0.2">
      <c r="C457" s="558"/>
      <c r="D457" s="558"/>
      <c r="E457" s="558"/>
      <c r="F457" s="558"/>
      <c r="G457" s="558"/>
      <c r="H457" s="558"/>
      <c r="I457" s="558"/>
      <c r="J457" s="558"/>
      <c r="K457" s="558"/>
      <c r="L457" s="558"/>
      <c r="M457" s="573"/>
      <c r="N457" s="558"/>
      <c r="O457" s="558"/>
      <c r="P457" s="558"/>
    </row>
    <row r="458" spans="3:16" x14ac:dyDescent="0.2">
      <c r="C458" s="558"/>
      <c r="D458" s="558"/>
      <c r="E458" s="558"/>
      <c r="F458" s="558"/>
      <c r="G458" s="558"/>
      <c r="H458" s="558"/>
      <c r="I458" s="558"/>
      <c r="J458" s="558"/>
      <c r="K458" s="558"/>
      <c r="L458" s="558"/>
      <c r="M458" s="573"/>
      <c r="N458" s="558"/>
      <c r="O458" s="558"/>
      <c r="P458" s="558"/>
    </row>
    <row r="459" spans="3:16" x14ac:dyDescent="0.2">
      <c r="C459" s="558"/>
      <c r="D459" s="558"/>
      <c r="E459" s="558"/>
      <c r="F459" s="558"/>
      <c r="G459" s="558"/>
      <c r="H459" s="558"/>
      <c r="I459" s="558"/>
      <c r="J459" s="558"/>
      <c r="K459" s="558"/>
      <c r="L459" s="558"/>
      <c r="M459" s="573"/>
      <c r="N459" s="558"/>
      <c r="O459" s="558"/>
      <c r="P459" s="558"/>
    </row>
    <row r="460" spans="3:16" x14ac:dyDescent="0.2">
      <c r="C460" s="558"/>
      <c r="D460" s="558"/>
      <c r="E460" s="558"/>
      <c r="F460" s="558"/>
      <c r="G460" s="558"/>
      <c r="H460" s="558"/>
      <c r="I460" s="558"/>
      <c r="J460" s="558"/>
      <c r="K460" s="558"/>
      <c r="L460" s="558"/>
      <c r="M460" s="573"/>
      <c r="N460" s="558"/>
      <c r="O460" s="558"/>
      <c r="P460" s="558"/>
    </row>
    <row r="461" spans="3:16" x14ac:dyDescent="0.2">
      <c r="C461" s="558"/>
      <c r="D461" s="558"/>
      <c r="E461" s="558"/>
      <c r="F461" s="558"/>
      <c r="G461" s="558"/>
      <c r="H461" s="558"/>
      <c r="I461" s="558"/>
      <c r="J461" s="558"/>
      <c r="K461" s="558"/>
      <c r="L461" s="558"/>
      <c r="M461" s="573"/>
      <c r="N461" s="558"/>
      <c r="O461" s="558"/>
      <c r="P461" s="558"/>
    </row>
    <row r="462" spans="3:16" x14ac:dyDescent="0.2">
      <c r="C462" s="558"/>
      <c r="D462" s="558"/>
      <c r="E462" s="558"/>
      <c r="F462" s="558"/>
      <c r="G462" s="558"/>
      <c r="H462" s="558"/>
      <c r="I462" s="558"/>
      <c r="J462" s="558"/>
      <c r="K462" s="558"/>
      <c r="L462" s="558"/>
      <c r="M462" s="573"/>
      <c r="N462" s="558"/>
      <c r="O462" s="558"/>
      <c r="P462" s="558"/>
    </row>
    <row r="463" spans="3:16" x14ac:dyDescent="0.2">
      <c r="C463" s="558"/>
      <c r="D463" s="558"/>
      <c r="E463" s="558"/>
      <c r="F463" s="558"/>
      <c r="G463" s="558"/>
      <c r="H463" s="558"/>
      <c r="I463" s="558"/>
      <c r="J463" s="558"/>
      <c r="K463" s="558"/>
      <c r="L463" s="558"/>
      <c r="M463" s="573"/>
      <c r="N463" s="558"/>
      <c r="O463" s="558"/>
      <c r="P463" s="558"/>
    </row>
    <row r="464" spans="3:16" x14ac:dyDescent="0.2">
      <c r="C464" s="558"/>
      <c r="D464" s="558"/>
      <c r="E464" s="558"/>
      <c r="F464" s="558"/>
      <c r="G464" s="558"/>
      <c r="H464" s="558"/>
      <c r="I464" s="558"/>
      <c r="J464" s="558"/>
      <c r="K464" s="558"/>
      <c r="L464" s="558"/>
      <c r="M464" s="573"/>
      <c r="N464" s="558"/>
      <c r="O464" s="558"/>
      <c r="P464" s="558"/>
    </row>
    <row r="465" spans="3:16" x14ac:dyDescent="0.2">
      <c r="C465" s="558"/>
      <c r="D465" s="558"/>
      <c r="E465" s="558"/>
      <c r="F465" s="558"/>
      <c r="G465" s="558"/>
      <c r="H465" s="558"/>
      <c r="I465" s="558"/>
      <c r="J465" s="558"/>
      <c r="K465" s="558"/>
      <c r="L465" s="558"/>
      <c r="M465" s="573"/>
      <c r="N465" s="558"/>
      <c r="O465" s="558"/>
      <c r="P465" s="558"/>
    </row>
    <row r="466" spans="3:16" x14ac:dyDescent="0.2">
      <c r="C466" s="558"/>
      <c r="D466" s="558"/>
      <c r="E466" s="558"/>
      <c r="F466" s="558"/>
      <c r="G466" s="558"/>
      <c r="H466" s="558"/>
      <c r="I466" s="558"/>
      <c r="J466" s="558"/>
      <c r="K466" s="558"/>
      <c r="L466" s="558"/>
      <c r="M466" s="573"/>
      <c r="N466" s="558"/>
      <c r="O466" s="558"/>
      <c r="P466" s="558"/>
    </row>
    <row r="467" spans="3:16" x14ac:dyDescent="0.2">
      <c r="C467" s="558"/>
      <c r="D467" s="558"/>
      <c r="E467" s="558"/>
      <c r="F467" s="558"/>
      <c r="G467" s="558"/>
      <c r="H467" s="558"/>
      <c r="I467" s="558"/>
      <c r="J467" s="558"/>
      <c r="K467" s="558"/>
      <c r="L467" s="558"/>
      <c r="M467" s="573"/>
      <c r="N467" s="558"/>
      <c r="O467" s="558"/>
      <c r="P467" s="558"/>
    </row>
    <row r="468" spans="3:16" x14ac:dyDescent="0.2">
      <c r="C468" s="558"/>
      <c r="D468" s="558"/>
      <c r="E468" s="558"/>
      <c r="F468" s="558"/>
      <c r="G468" s="558"/>
      <c r="H468" s="558"/>
      <c r="I468" s="558"/>
      <c r="J468" s="558"/>
      <c r="K468" s="558"/>
      <c r="L468" s="558"/>
      <c r="M468" s="573"/>
      <c r="N468" s="558"/>
      <c r="O468" s="558"/>
      <c r="P468" s="558"/>
    </row>
    <row r="469" spans="3:16" x14ac:dyDescent="0.2">
      <c r="C469" s="558"/>
      <c r="D469" s="558"/>
      <c r="E469" s="558"/>
      <c r="F469" s="558"/>
      <c r="G469" s="558"/>
      <c r="H469" s="558"/>
      <c r="I469" s="558"/>
      <c r="J469" s="558"/>
      <c r="K469" s="558"/>
      <c r="L469" s="558"/>
      <c r="M469" s="573"/>
      <c r="N469" s="558"/>
      <c r="O469" s="558"/>
      <c r="P469" s="558"/>
    </row>
    <row r="470" spans="3:16" x14ac:dyDescent="0.2">
      <c r="C470" s="558"/>
      <c r="D470" s="558"/>
      <c r="E470" s="558"/>
      <c r="F470" s="558"/>
      <c r="G470" s="558"/>
      <c r="H470" s="558"/>
      <c r="I470" s="558"/>
      <c r="J470" s="558"/>
      <c r="K470" s="558"/>
      <c r="L470" s="558"/>
      <c r="M470" s="573"/>
      <c r="N470" s="558"/>
      <c r="O470" s="558"/>
      <c r="P470" s="558"/>
    </row>
    <row r="471" spans="3:16" x14ac:dyDescent="0.2">
      <c r="C471" s="558"/>
      <c r="D471" s="558"/>
      <c r="E471" s="558"/>
      <c r="F471" s="558"/>
      <c r="G471" s="558"/>
      <c r="H471" s="558"/>
      <c r="I471" s="558"/>
      <c r="J471" s="558"/>
      <c r="K471" s="558"/>
      <c r="L471" s="558"/>
      <c r="M471" s="573"/>
      <c r="N471" s="558"/>
      <c r="O471" s="558"/>
      <c r="P471" s="558"/>
    </row>
    <row r="472" spans="3:16" x14ac:dyDescent="0.2">
      <c r="C472" s="558"/>
      <c r="D472" s="558"/>
      <c r="E472" s="558"/>
      <c r="F472" s="558"/>
      <c r="G472" s="558"/>
      <c r="H472" s="558"/>
      <c r="I472" s="558"/>
      <c r="J472" s="558"/>
      <c r="K472" s="558"/>
      <c r="L472" s="558"/>
      <c r="M472" s="573"/>
      <c r="N472" s="558"/>
      <c r="O472" s="558"/>
      <c r="P472" s="558"/>
    </row>
    <row r="473" spans="3:16" x14ac:dyDescent="0.2">
      <c r="C473" s="558"/>
      <c r="D473" s="558"/>
      <c r="E473" s="558"/>
      <c r="F473" s="558"/>
      <c r="G473" s="558"/>
      <c r="H473" s="558"/>
      <c r="I473" s="558"/>
      <c r="J473" s="558"/>
      <c r="K473" s="558"/>
      <c r="L473" s="558"/>
      <c r="M473" s="573"/>
      <c r="N473" s="558"/>
      <c r="O473" s="558"/>
      <c r="P473" s="558"/>
    </row>
    <row r="474" spans="3:16" x14ac:dyDescent="0.2">
      <c r="C474" s="558"/>
      <c r="D474" s="558"/>
      <c r="E474" s="558"/>
      <c r="F474" s="558"/>
      <c r="G474" s="558"/>
      <c r="H474" s="558"/>
      <c r="I474" s="558"/>
      <c r="J474" s="558"/>
      <c r="K474" s="558"/>
      <c r="L474" s="558"/>
      <c r="M474" s="573"/>
      <c r="N474" s="558"/>
      <c r="O474" s="558"/>
      <c r="P474" s="558"/>
    </row>
    <row r="475" spans="3:16" x14ac:dyDescent="0.2">
      <c r="C475" s="558"/>
      <c r="D475" s="558"/>
      <c r="E475" s="558"/>
      <c r="F475" s="558"/>
      <c r="G475" s="558"/>
      <c r="H475" s="558"/>
      <c r="I475" s="558"/>
      <c r="J475" s="558"/>
      <c r="K475" s="558"/>
      <c r="L475" s="558"/>
      <c r="M475" s="573"/>
      <c r="N475" s="558"/>
      <c r="O475" s="558"/>
      <c r="P475" s="558"/>
    </row>
    <row r="476" spans="3:16" x14ac:dyDescent="0.2">
      <c r="C476" s="558"/>
      <c r="D476" s="558"/>
      <c r="E476" s="558"/>
      <c r="F476" s="558"/>
      <c r="G476" s="558"/>
      <c r="H476" s="558"/>
      <c r="I476" s="558"/>
      <c r="J476" s="558"/>
      <c r="K476" s="558"/>
      <c r="L476" s="558"/>
      <c r="M476" s="573"/>
      <c r="N476" s="558"/>
      <c r="O476" s="558"/>
      <c r="P476" s="558"/>
    </row>
    <row r="477" spans="3:16" x14ac:dyDescent="0.2">
      <c r="C477" s="558"/>
      <c r="D477" s="558"/>
      <c r="E477" s="558"/>
      <c r="F477" s="558"/>
      <c r="G477" s="558"/>
      <c r="H477" s="558"/>
      <c r="I477" s="558"/>
      <c r="J477" s="558"/>
      <c r="K477" s="558"/>
      <c r="L477" s="558"/>
      <c r="M477" s="573"/>
      <c r="N477" s="558"/>
      <c r="O477" s="558"/>
      <c r="P477" s="558"/>
    </row>
    <row r="478" spans="3:16" x14ac:dyDescent="0.2">
      <c r="C478" s="558"/>
      <c r="D478" s="558"/>
      <c r="E478" s="558"/>
      <c r="F478" s="558"/>
      <c r="G478" s="558"/>
      <c r="H478" s="558"/>
      <c r="I478" s="558"/>
      <c r="J478" s="558"/>
      <c r="K478" s="558"/>
      <c r="L478" s="558"/>
      <c r="M478" s="573"/>
      <c r="N478" s="558"/>
      <c r="O478" s="558"/>
      <c r="P478" s="558"/>
    </row>
    <row r="479" spans="3:16" x14ac:dyDescent="0.2">
      <c r="C479" s="558"/>
      <c r="D479" s="558"/>
      <c r="E479" s="558"/>
      <c r="F479" s="558"/>
      <c r="G479" s="558"/>
      <c r="H479" s="558"/>
      <c r="I479" s="558"/>
      <c r="J479" s="558"/>
      <c r="K479" s="558"/>
      <c r="L479" s="558"/>
      <c r="M479" s="573"/>
      <c r="N479" s="558"/>
      <c r="O479" s="558"/>
      <c r="P479" s="558"/>
    </row>
    <row r="480" spans="3:16" x14ac:dyDescent="0.2">
      <c r="C480" s="558"/>
      <c r="D480" s="558"/>
      <c r="E480" s="558"/>
      <c r="F480" s="558"/>
      <c r="G480" s="558"/>
      <c r="H480" s="558"/>
      <c r="I480" s="558"/>
      <c r="J480" s="558"/>
      <c r="K480" s="558"/>
      <c r="L480" s="558"/>
      <c r="M480" s="573"/>
      <c r="N480" s="558"/>
      <c r="O480" s="558"/>
      <c r="P480" s="558"/>
    </row>
    <row r="481" spans="3:16" x14ac:dyDescent="0.2">
      <c r="C481" s="558"/>
      <c r="D481" s="558"/>
      <c r="E481" s="558"/>
      <c r="F481" s="558"/>
      <c r="G481" s="558"/>
      <c r="H481" s="558"/>
      <c r="I481" s="558"/>
      <c r="J481" s="558"/>
      <c r="K481" s="558"/>
      <c r="L481" s="558"/>
      <c r="M481" s="573"/>
      <c r="N481" s="558"/>
      <c r="O481" s="558"/>
      <c r="P481" s="558"/>
    </row>
    <row r="482" spans="3:16" x14ac:dyDescent="0.2">
      <c r="C482" s="558"/>
      <c r="D482" s="558"/>
      <c r="E482" s="558"/>
      <c r="F482" s="558"/>
      <c r="G482" s="558"/>
      <c r="H482" s="558"/>
      <c r="I482" s="558"/>
      <c r="J482" s="558"/>
      <c r="K482" s="558"/>
      <c r="L482" s="558"/>
      <c r="M482" s="573"/>
      <c r="N482" s="558"/>
      <c r="O482" s="558"/>
      <c r="P482" s="558"/>
    </row>
    <row r="483" spans="3:16" x14ac:dyDescent="0.2">
      <c r="C483" s="558"/>
      <c r="D483" s="558"/>
      <c r="E483" s="558"/>
      <c r="F483" s="558"/>
      <c r="G483" s="558"/>
      <c r="H483" s="558"/>
      <c r="I483" s="558"/>
      <c r="J483" s="558"/>
      <c r="K483" s="558"/>
      <c r="L483" s="558"/>
      <c r="M483" s="573"/>
      <c r="N483" s="558"/>
      <c r="O483" s="558"/>
      <c r="P483" s="558"/>
    </row>
    <row r="484" spans="3:16" x14ac:dyDescent="0.2">
      <c r="C484" s="558"/>
      <c r="D484" s="558"/>
      <c r="E484" s="558"/>
      <c r="F484" s="558"/>
      <c r="G484" s="558"/>
      <c r="H484" s="558"/>
      <c r="I484" s="558"/>
      <c r="J484" s="558"/>
      <c r="K484" s="558"/>
      <c r="L484" s="558"/>
      <c r="M484" s="573"/>
      <c r="N484" s="558"/>
      <c r="O484" s="558"/>
      <c r="P484" s="558"/>
    </row>
    <row r="485" spans="3:16" x14ac:dyDescent="0.2">
      <c r="C485" s="558"/>
      <c r="D485" s="558"/>
      <c r="E485" s="558"/>
      <c r="F485" s="558"/>
      <c r="G485" s="558"/>
      <c r="H485" s="558"/>
      <c r="I485" s="558"/>
      <c r="J485" s="558"/>
      <c r="K485" s="558"/>
      <c r="L485" s="558"/>
      <c r="M485" s="573"/>
      <c r="N485" s="558"/>
      <c r="O485" s="558"/>
      <c r="P485" s="558"/>
    </row>
    <row r="486" spans="3:16" x14ac:dyDescent="0.2">
      <c r="C486" s="558"/>
      <c r="D486" s="558"/>
      <c r="E486" s="558"/>
      <c r="F486" s="558"/>
      <c r="G486" s="558"/>
      <c r="H486" s="558"/>
      <c r="I486" s="558"/>
      <c r="J486" s="558"/>
      <c r="K486" s="558"/>
      <c r="L486" s="558"/>
      <c r="M486" s="573"/>
      <c r="N486" s="558"/>
      <c r="O486" s="558"/>
      <c r="P486" s="558"/>
    </row>
    <row r="487" spans="3:16" x14ac:dyDescent="0.2">
      <c r="C487" s="558"/>
      <c r="D487" s="558"/>
      <c r="E487" s="558"/>
      <c r="F487" s="558"/>
      <c r="G487" s="558"/>
      <c r="H487" s="558"/>
      <c r="I487" s="558"/>
      <c r="J487" s="558"/>
      <c r="K487" s="558"/>
      <c r="L487" s="558"/>
      <c r="M487" s="573"/>
      <c r="N487" s="558"/>
      <c r="O487" s="558"/>
      <c r="P487" s="558"/>
    </row>
    <row r="488" spans="3:16" x14ac:dyDescent="0.2">
      <c r="C488" s="558"/>
      <c r="D488" s="558"/>
      <c r="E488" s="558"/>
      <c r="F488" s="558"/>
      <c r="G488" s="558"/>
      <c r="H488" s="558"/>
      <c r="I488" s="558"/>
      <c r="J488" s="558"/>
      <c r="K488" s="558"/>
      <c r="L488" s="558"/>
      <c r="M488" s="573"/>
      <c r="N488" s="558"/>
      <c r="O488" s="558"/>
      <c r="P488" s="558"/>
    </row>
    <row r="489" spans="3:16" x14ac:dyDescent="0.2">
      <c r="C489" s="558"/>
      <c r="D489" s="558"/>
      <c r="E489" s="558"/>
      <c r="F489" s="558"/>
      <c r="G489" s="558"/>
      <c r="H489" s="558"/>
      <c r="I489" s="558"/>
      <c r="J489" s="558"/>
      <c r="K489" s="558"/>
      <c r="L489" s="558"/>
      <c r="M489" s="573"/>
      <c r="N489" s="558"/>
      <c r="O489" s="558"/>
      <c r="P489" s="558"/>
    </row>
    <row r="490" spans="3:16" x14ac:dyDescent="0.2">
      <c r="C490" s="558"/>
      <c r="D490" s="558"/>
      <c r="E490" s="558"/>
      <c r="F490" s="558"/>
      <c r="G490" s="558"/>
      <c r="H490" s="558"/>
      <c r="I490" s="558"/>
      <c r="J490" s="558"/>
      <c r="K490" s="558"/>
      <c r="L490" s="558"/>
      <c r="M490" s="573"/>
      <c r="N490" s="558"/>
      <c r="O490" s="558"/>
      <c r="P490" s="558"/>
    </row>
    <row r="491" spans="3:16" x14ac:dyDescent="0.2">
      <c r="C491" s="558"/>
      <c r="D491" s="558"/>
      <c r="E491" s="558"/>
      <c r="F491" s="558"/>
      <c r="G491" s="558"/>
      <c r="H491" s="558"/>
      <c r="I491" s="558"/>
      <c r="J491" s="558"/>
      <c r="K491" s="558"/>
      <c r="L491" s="558"/>
      <c r="M491" s="573"/>
      <c r="N491" s="558"/>
      <c r="O491" s="558"/>
      <c r="P491" s="558"/>
    </row>
    <row r="492" spans="3:16" x14ac:dyDescent="0.2">
      <c r="C492" s="558"/>
      <c r="D492" s="558"/>
      <c r="E492" s="558"/>
      <c r="F492" s="558"/>
      <c r="G492" s="558"/>
      <c r="H492" s="558"/>
      <c r="I492" s="558"/>
      <c r="J492" s="558"/>
      <c r="K492" s="558"/>
      <c r="L492" s="558"/>
      <c r="M492" s="573"/>
      <c r="N492" s="558"/>
      <c r="O492" s="558"/>
      <c r="P492" s="558"/>
    </row>
    <row r="493" spans="3:16" x14ac:dyDescent="0.2">
      <c r="C493" s="558"/>
      <c r="D493" s="558"/>
      <c r="E493" s="558"/>
      <c r="F493" s="558"/>
      <c r="G493" s="558"/>
      <c r="H493" s="558"/>
      <c r="I493" s="558"/>
      <c r="J493" s="558"/>
      <c r="K493" s="558"/>
      <c r="L493" s="558"/>
      <c r="M493" s="573"/>
      <c r="N493" s="558"/>
      <c r="O493" s="558"/>
      <c r="P493" s="558"/>
    </row>
    <row r="494" spans="3:16" x14ac:dyDescent="0.2">
      <c r="C494" s="558"/>
      <c r="D494" s="558"/>
      <c r="E494" s="558"/>
      <c r="F494" s="558"/>
      <c r="G494" s="558"/>
      <c r="H494" s="558"/>
      <c r="I494" s="558"/>
      <c r="J494" s="558"/>
      <c r="K494" s="558"/>
      <c r="L494" s="558"/>
      <c r="M494" s="573"/>
      <c r="N494" s="558"/>
      <c r="O494" s="558"/>
      <c r="P494" s="558"/>
    </row>
    <row r="495" spans="3:16" x14ac:dyDescent="0.2">
      <c r="C495" s="558"/>
      <c r="D495" s="558"/>
      <c r="E495" s="558"/>
      <c r="F495" s="558"/>
      <c r="G495" s="558"/>
      <c r="H495" s="558"/>
      <c r="I495" s="558"/>
      <c r="J495" s="558"/>
      <c r="K495" s="558"/>
      <c r="L495" s="558"/>
      <c r="M495" s="573"/>
      <c r="N495" s="558"/>
      <c r="O495" s="558"/>
      <c r="P495" s="558"/>
    </row>
    <row r="496" spans="3:16" x14ac:dyDescent="0.2">
      <c r="C496" s="558"/>
      <c r="D496" s="558"/>
      <c r="E496" s="558"/>
      <c r="F496" s="558"/>
      <c r="G496" s="558"/>
      <c r="H496" s="558"/>
      <c r="I496" s="558"/>
      <c r="J496" s="558"/>
      <c r="K496" s="558"/>
      <c r="L496" s="558"/>
      <c r="M496" s="573"/>
      <c r="N496" s="558"/>
      <c r="O496" s="558"/>
      <c r="P496" s="558"/>
    </row>
    <row r="497" spans="3:16" x14ac:dyDescent="0.2">
      <c r="C497" s="558"/>
      <c r="D497" s="558"/>
      <c r="E497" s="558"/>
      <c r="F497" s="558"/>
      <c r="G497" s="558"/>
      <c r="H497" s="558"/>
      <c r="I497" s="558"/>
      <c r="J497" s="558"/>
      <c r="K497" s="558"/>
      <c r="L497" s="558"/>
      <c r="M497" s="573"/>
      <c r="N497" s="558"/>
      <c r="O497" s="558"/>
      <c r="P497" s="558"/>
    </row>
    <row r="498" spans="3:16" x14ac:dyDescent="0.2">
      <c r="C498" s="558"/>
      <c r="D498" s="558"/>
      <c r="E498" s="558"/>
      <c r="F498" s="558"/>
      <c r="G498" s="558"/>
      <c r="H498" s="558"/>
      <c r="I498" s="558"/>
      <c r="J498" s="558"/>
      <c r="K498" s="558"/>
      <c r="L498" s="558"/>
      <c r="M498" s="573"/>
      <c r="N498" s="558"/>
      <c r="O498" s="558"/>
      <c r="P498" s="558"/>
    </row>
    <row r="499" spans="3:16" x14ac:dyDescent="0.2">
      <c r="C499" s="558"/>
      <c r="D499" s="558"/>
      <c r="E499" s="558"/>
      <c r="F499" s="558"/>
      <c r="G499" s="558"/>
      <c r="H499" s="558"/>
      <c r="I499" s="558"/>
      <c r="J499" s="558"/>
      <c r="K499" s="558"/>
      <c r="L499" s="558"/>
      <c r="M499" s="573"/>
      <c r="N499" s="558"/>
      <c r="O499" s="558"/>
      <c r="P499" s="558"/>
    </row>
    <row r="500" spans="3:16" x14ac:dyDescent="0.2">
      <c r="C500" s="558"/>
      <c r="D500" s="558"/>
      <c r="E500" s="558"/>
      <c r="F500" s="558"/>
      <c r="G500" s="558"/>
      <c r="H500" s="558"/>
      <c r="I500" s="558"/>
      <c r="J500" s="558"/>
      <c r="K500" s="558"/>
      <c r="L500" s="558"/>
      <c r="M500" s="573"/>
      <c r="N500" s="558"/>
      <c r="O500" s="558"/>
      <c r="P500" s="558"/>
    </row>
    <row r="501" spans="3:16" x14ac:dyDescent="0.2">
      <c r="C501" s="558"/>
      <c r="D501" s="558"/>
      <c r="E501" s="558"/>
      <c r="F501" s="558"/>
      <c r="G501" s="558"/>
      <c r="H501" s="558"/>
      <c r="I501" s="558"/>
      <c r="J501" s="558"/>
      <c r="K501" s="558"/>
      <c r="L501" s="558"/>
      <c r="M501" s="573"/>
      <c r="N501" s="558"/>
      <c r="O501" s="558"/>
      <c r="P501" s="558"/>
    </row>
    <row r="502" spans="3:16" x14ac:dyDescent="0.2">
      <c r="C502" s="558"/>
      <c r="D502" s="558"/>
      <c r="E502" s="558"/>
      <c r="F502" s="558"/>
      <c r="G502" s="558"/>
      <c r="H502" s="558"/>
      <c r="I502" s="558"/>
      <c r="J502" s="558"/>
      <c r="K502" s="558"/>
      <c r="L502" s="558"/>
      <c r="M502" s="573"/>
      <c r="N502" s="558"/>
      <c r="O502" s="558"/>
      <c r="P502" s="558"/>
    </row>
    <row r="503" spans="3:16" x14ac:dyDescent="0.2">
      <c r="C503" s="558"/>
      <c r="D503" s="558"/>
      <c r="E503" s="558"/>
      <c r="F503" s="558"/>
      <c r="G503" s="558"/>
      <c r="H503" s="558"/>
      <c r="I503" s="558"/>
      <c r="J503" s="558"/>
      <c r="K503" s="558"/>
      <c r="L503" s="558"/>
      <c r="M503" s="573"/>
      <c r="N503" s="558"/>
      <c r="O503" s="558"/>
      <c r="P503" s="558"/>
    </row>
    <row r="504" spans="3:16" x14ac:dyDescent="0.2">
      <c r="C504" s="558"/>
      <c r="D504" s="558"/>
      <c r="E504" s="558"/>
      <c r="F504" s="558"/>
      <c r="G504" s="558"/>
      <c r="H504" s="558"/>
      <c r="I504" s="558"/>
      <c r="J504" s="558"/>
      <c r="K504" s="558"/>
      <c r="L504" s="558"/>
      <c r="M504" s="573"/>
      <c r="N504" s="558"/>
      <c r="O504" s="558"/>
      <c r="P504" s="558"/>
    </row>
    <row r="505" spans="3:16" x14ac:dyDescent="0.2">
      <c r="C505" s="558"/>
      <c r="D505" s="558"/>
      <c r="E505" s="558"/>
      <c r="F505" s="558"/>
      <c r="G505" s="558"/>
      <c r="H505" s="558"/>
      <c r="I505" s="558"/>
      <c r="J505" s="558"/>
      <c r="K505" s="558"/>
      <c r="L505" s="558"/>
      <c r="M505" s="573"/>
      <c r="N505" s="558"/>
      <c r="O505" s="558"/>
      <c r="P505" s="558"/>
    </row>
    <row r="506" spans="3:16" x14ac:dyDescent="0.2">
      <c r="C506" s="558"/>
      <c r="D506" s="558"/>
      <c r="E506" s="558"/>
      <c r="F506" s="558"/>
      <c r="G506" s="558"/>
      <c r="H506" s="558"/>
      <c r="I506" s="558"/>
      <c r="J506" s="558"/>
      <c r="K506" s="558"/>
      <c r="L506" s="558"/>
      <c r="M506" s="573"/>
      <c r="N506" s="558"/>
      <c r="O506" s="558"/>
      <c r="P506" s="558"/>
    </row>
    <row r="507" spans="3:16" x14ac:dyDescent="0.2">
      <c r="C507" s="558"/>
      <c r="D507" s="558"/>
      <c r="E507" s="558"/>
      <c r="F507" s="558"/>
      <c r="G507" s="558"/>
      <c r="H507" s="558"/>
      <c r="I507" s="558"/>
      <c r="J507" s="558"/>
      <c r="K507" s="558"/>
      <c r="L507" s="558"/>
      <c r="M507" s="573"/>
      <c r="N507" s="558"/>
      <c r="O507" s="558"/>
      <c r="P507" s="558"/>
    </row>
    <row r="508" spans="3:16" x14ac:dyDescent="0.2">
      <c r="C508" s="558"/>
      <c r="D508" s="558"/>
      <c r="E508" s="558"/>
      <c r="F508" s="558"/>
      <c r="G508" s="558"/>
      <c r="H508" s="558"/>
      <c r="I508" s="558"/>
      <c r="J508" s="558"/>
      <c r="K508" s="558"/>
      <c r="L508" s="558"/>
      <c r="M508" s="573"/>
      <c r="N508" s="558"/>
      <c r="O508" s="558"/>
      <c r="P508" s="558"/>
    </row>
    <row r="509" spans="3:16" x14ac:dyDescent="0.2">
      <c r="C509" s="558"/>
      <c r="D509" s="558"/>
      <c r="E509" s="558"/>
      <c r="F509" s="558"/>
      <c r="G509" s="558"/>
      <c r="H509" s="558"/>
      <c r="I509" s="558"/>
      <c r="J509" s="558"/>
      <c r="K509" s="558"/>
      <c r="L509" s="558"/>
      <c r="M509" s="573"/>
      <c r="N509" s="558"/>
      <c r="O509" s="558"/>
      <c r="P509" s="558"/>
    </row>
    <row r="510" spans="3:16" x14ac:dyDescent="0.2">
      <c r="C510" s="558"/>
      <c r="D510" s="558"/>
      <c r="E510" s="558"/>
      <c r="F510" s="558"/>
      <c r="G510" s="558"/>
      <c r="H510" s="558"/>
      <c r="I510" s="558"/>
      <c r="J510" s="558"/>
      <c r="K510" s="558"/>
      <c r="L510" s="558"/>
      <c r="M510" s="573"/>
      <c r="N510" s="558"/>
      <c r="O510" s="558"/>
      <c r="P510" s="558"/>
    </row>
    <row r="511" spans="3:16" x14ac:dyDescent="0.2">
      <c r="C511" s="558"/>
      <c r="D511" s="558"/>
      <c r="E511" s="558"/>
      <c r="F511" s="558"/>
      <c r="G511" s="558"/>
      <c r="H511" s="558"/>
      <c r="I511" s="558"/>
      <c r="J511" s="558"/>
      <c r="K511" s="558"/>
      <c r="L511" s="558"/>
      <c r="M511" s="573"/>
      <c r="N511" s="558"/>
      <c r="O511" s="558"/>
      <c r="P511" s="558"/>
    </row>
    <row r="512" spans="3:16" x14ac:dyDescent="0.2">
      <c r="C512" s="558"/>
      <c r="D512" s="558"/>
      <c r="E512" s="558"/>
      <c r="F512" s="558"/>
      <c r="G512" s="558"/>
      <c r="H512" s="558"/>
      <c r="I512" s="558"/>
      <c r="J512" s="558"/>
      <c r="K512" s="558"/>
      <c r="L512" s="558"/>
      <c r="M512" s="573"/>
      <c r="N512" s="558"/>
      <c r="O512" s="558"/>
      <c r="P512" s="558"/>
    </row>
    <row r="513" spans="3:16" x14ac:dyDescent="0.2">
      <c r="C513" s="558"/>
      <c r="D513" s="558"/>
      <c r="E513" s="558"/>
      <c r="F513" s="558"/>
      <c r="G513" s="558"/>
      <c r="H513" s="558"/>
      <c r="I513" s="558"/>
      <c r="J513" s="558"/>
      <c r="K513" s="558"/>
      <c r="L513" s="558"/>
      <c r="M513" s="573"/>
      <c r="N513" s="558"/>
      <c r="O513" s="558"/>
      <c r="P513" s="558"/>
    </row>
    <row r="514" spans="3:16" x14ac:dyDescent="0.2">
      <c r="C514" s="558"/>
      <c r="D514" s="558"/>
      <c r="E514" s="558"/>
      <c r="F514" s="558"/>
      <c r="G514" s="558"/>
      <c r="H514" s="558"/>
      <c r="I514" s="558"/>
      <c r="J514" s="558"/>
      <c r="K514" s="558"/>
      <c r="L514" s="558"/>
      <c r="M514" s="573"/>
      <c r="N514" s="558"/>
      <c r="O514" s="558"/>
      <c r="P514" s="558"/>
    </row>
    <row r="515" spans="3:16" x14ac:dyDescent="0.2">
      <c r="C515" s="558"/>
      <c r="D515" s="558"/>
      <c r="E515" s="558"/>
      <c r="F515" s="558"/>
      <c r="G515" s="558"/>
      <c r="H515" s="558"/>
      <c r="I515" s="558"/>
      <c r="J515" s="558"/>
      <c r="K515" s="558"/>
      <c r="L515" s="558"/>
      <c r="M515" s="573"/>
      <c r="N515" s="558"/>
      <c r="O515" s="558"/>
      <c r="P515" s="558"/>
    </row>
    <row r="516" spans="3:16" x14ac:dyDescent="0.2">
      <c r="C516" s="558"/>
      <c r="D516" s="558"/>
      <c r="E516" s="558"/>
      <c r="F516" s="558"/>
      <c r="G516" s="558"/>
      <c r="H516" s="558"/>
      <c r="I516" s="558"/>
      <c r="J516" s="558"/>
      <c r="K516" s="558"/>
      <c r="L516" s="558"/>
      <c r="M516" s="573"/>
      <c r="N516" s="558"/>
      <c r="O516" s="558"/>
      <c r="P516" s="558"/>
    </row>
    <row r="517" spans="3:16" x14ac:dyDescent="0.2">
      <c r="C517" s="558"/>
      <c r="D517" s="558"/>
      <c r="E517" s="558"/>
      <c r="F517" s="558"/>
      <c r="G517" s="558"/>
      <c r="H517" s="558"/>
      <c r="I517" s="558"/>
      <c r="J517" s="558"/>
      <c r="K517" s="558"/>
      <c r="L517" s="558"/>
      <c r="M517" s="573"/>
      <c r="N517" s="558"/>
      <c r="O517" s="558"/>
      <c r="P517" s="558"/>
    </row>
    <row r="518" spans="3:16" x14ac:dyDescent="0.2">
      <c r="C518" s="558"/>
      <c r="D518" s="558"/>
      <c r="E518" s="558"/>
      <c r="F518" s="558"/>
      <c r="G518" s="558"/>
      <c r="H518" s="558"/>
      <c r="I518" s="558"/>
      <c r="J518" s="558"/>
      <c r="K518" s="558"/>
      <c r="L518" s="558"/>
      <c r="M518" s="573"/>
      <c r="N518" s="558"/>
      <c r="O518" s="558"/>
      <c r="P518" s="558"/>
    </row>
    <row r="519" spans="3:16" x14ac:dyDescent="0.2">
      <c r="C519" s="558"/>
      <c r="D519" s="558"/>
      <c r="E519" s="558"/>
      <c r="F519" s="558"/>
      <c r="G519" s="558"/>
      <c r="H519" s="558"/>
      <c r="I519" s="558"/>
      <c r="J519" s="558"/>
      <c r="K519" s="558"/>
      <c r="L519" s="558"/>
      <c r="M519" s="573"/>
      <c r="N519" s="558"/>
      <c r="O519" s="558"/>
      <c r="P519" s="558"/>
    </row>
    <row r="520" spans="3:16" x14ac:dyDescent="0.2">
      <c r="C520" s="558"/>
      <c r="D520" s="558"/>
      <c r="E520" s="558"/>
      <c r="F520" s="558"/>
      <c r="G520" s="558"/>
      <c r="H520" s="558"/>
      <c r="I520" s="558"/>
      <c r="J520" s="558"/>
      <c r="K520" s="558"/>
      <c r="L520" s="558"/>
      <c r="M520" s="573"/>
      <c r="N520" s="558"/>
      <c r="O520" s="558"/>
      <c r="P520" s="558"/>
    </row>
    <row r="521" spans="3:16" x14ac:dyDescent="0.2">
      <c r="C521" s="558"/>
      <c r="D521" s="558"/>
      <c r="E521" s="558"/>
      <c r="F521" s="558"/>
      <c r="G521" s="558"/>
      <c r="H521" s="558"/>
      <c r="I521" s="558"/>
      <c r="J521" s="558"/>
      <c r="K521" s="558"/>
      <c r="L521" s="558"/>
      <c r="M521" s="573"/>
      <c r="N521" s="558"/>
      <c r="O521" s="558"/>
      <c r="P521" s="558"/>
    </row>
    <row r="522" spans="3:16" x14ac:dyDescent="0.2">
      <c r="C522" s="558"/>
      <c r="D522" s="558"/>
      <c r="E522" s="558"/>
      <c r="F522" s="558"/>
      <c r="G522" s="558"/>
      <c r="H522" s="558"/>
      <c r="I522" s="558"/>
      <c r="J522" s="558"/>
      <c r="K522" s="558"/>
      <c r="L522" s="558"/>
      <c r="M522" s="573"/>
      <c r="N522" s="558"/>
      <c r="O522" s="558"/>
      <c r="P522" s="558"/>
    </row>
    <row r="523" spans="3:16" x14ac:dyDescent="0.2">
      <c r="C523" s="558"/>
      <c r="D523" s="558"/>
      <c r="E523" s="558"/>
      <c r="F523" s="558"/>
      <c r="G523" s="558"/>
      <c r="H523" s="558"/>
      <c r="I523" s="558"/>
      <c r="J523" s="558"/>
      <c r="K523" s="558"/>
      <c r="L523" s="558"/>
      <c r="M523" s="573"/>
      <c r="N523" s="558"/>
      <c r="O523" s="558"/>
      <c r="P523" s="558"/>
    </row>
    <row r="524" spans="3:16" x14ac:dyDescent="0.2">
      <c r="C524" s="558"/>
      <c r="D524" s="558"/>
      <c r="E524" s="558"/>
      <c r="F524" s="558"/>
      <c r="G524" s="558"/>
      <c r="H524" s="558"/>
      <c r="I524" s="558"/>
      <c r="J524" s="558"/>
      <c r="K524" s="558"/>
      <c r="L524" s="558"/>
      <c r="M524" s="573"/>
      <c r="N524" s="558"/>
      <c r="O524" s="558"/>
      <c r="P524" s="558"/>
    </row>
    <row r="525" spans="3:16" x14ac:dyDescent="0.2">
      <c r="C525" s="558"/>
      <c r="D525" s="558"/>
      <c r="E525" s="558"/>
      <c r="F525" s="558"/>
      <c r="G525" s="558"/>
      <c r="H525" s="558"/>
      <c r="I525" s="558"/>
      <c r="J525" s="558"/>
      <c r="K525" s="558"/>
      <c r="L525" s="558"/>
      <c r="M525" s="573"/>
      <c r="N525" s="558"/>
      <c r="O525" s="558"/>
      <c r="P525" s="558"/>
    </row>
    <row r="526" spans="3:16" x14ac:dyDescent="0.2">
      <c r="C526" s="558"/>
      <c r="D526" s="558"/>
      <c r="E526" s="558"/>
      <c r="F526" s="558"/>
      <c r="G526" s="558"/>
      <c r="H526" s="558"/>
      <c r="I526" s="558"/>
      <c r="J526" s="558"/>
      <c r="K526" s="558"/>
      <c r="L526" s="558"/>
      <c r="M526" s="573"/>
      <c r="N526" s="558"/>
      <c r="O526" s="558"/>
      <c r="P526" s="558"/>
    </row>
    <row r="527" spans="3:16" x14ac:dyDescent="0.2">
      <c r="C527" s="558"/>
      <c r="D527" s="558"/>
      <c r="E527" s="558"/>
      <c r="F527" s="558"/>
      <c r="G527" s="558"/>
      <c r="H527" s="558"/>
      <c r="I527" s="558"/>
      <c r="J527" s="558"/>
      <c r="K527" s="558"/>
      <c r="L527" s="558"/>
      <c r="M527" s="573"/>
      <c r="N527" s="558"/>
      <c r="O527" s="558"/>
      <c r="P527" s="558"/>
    </row>
    <row r="528" spans="3:16" x14ac:dyDescent="0.2">
      <c r="C528" s="558"/>
      <c r="D528" s="558"/>
      <c r="E528" s="558"/>
      <c r="F528" s="558"/>
      <c r="G528" s="558"/>
      <c r="H528" s="558"/>
      <c r="I528" s="558"/>
      <c r="J528" s="558"/>
      <c r="K528" s="558"/>
      <c r="L528" s="558"/>
      <c r="M528" s="573"/>
      <c r="N528" s="558"/>
      <c r="O528" s="558"/>
      <c r="P528" s="558"/>
    </row>
    <row r="529" spans="3:16" x14ac:dyDescent="0.2">
      <c r="C529" s="558"/>
      <c r="D529" s="558"/>
      <c r="E529" s="558"/>
      <c r="F529" s="558"/>
      <c r="G529" s="558"/>
      <c r="H529" s="558"/>
      <c r="I529" s="558"/>
      <c r="J529" s="558"/>
      <c r="K529" s="558"/>
      <c r="L529" s="558"/>
      <c r="M529" s="573"/>
      <c r="N529" s="558"/>
      <c r="O529" s="558"/>
      <c r="P529" s="558"/>
    </row>
    <row r="530" spans="3:16" x14ac:dyDescent="0.2">
      <c r="C530" s="558"/>
      <c r="D530" s="558"/>
      <c r="E530" s="558"/>
      <c r="F530" s="558"/>
      <c r="G530" s="558"/>
      <c r="H530" s="558"/>
      <c r="I530" s="558"/>
      <c r="J530" s="558"/>
      <c r="K530" s="558"/>
      <c r="L530" s="558"/>
      <c r="M530" s="573"/>
      <c r="N530" s="558"/>
      <c r="O530" s="558"/>
      <c r="P530" s="558"/>
    </row>
    <row r="531" spans="3:16" x14ac:dyDescent="0.2">
      <c r="C531" s="558"/>
      <c r="D531" s="558"/>
      <c r="E531" s="558"/>
      <c r="F531" s="558"/>
      <c r="G531" s="558"/>
      <c r="H531" s="558"/>
      <c r="I531" s="558"/>
      <c r="J531" s="558"/>
      <c r="K531" s="558"/>
      <c r="L531" s="558"/>
      <c r="M531" s="573"/>
      <c r="N531" s="558"/>
      <c r="O531" s="558"/>
      <c r="P531" s="558"/>
    </row>
    <row r="532" spans="3:16" x14ac:dyDescent="0.2">
      <c r="C532" s="558"/>
      <c r="D532" s="558"/>
      <c r="E532" s="558"/>
      <c r="F532" s="558"/>
      <c r="G532" s="558"/>
      <c r="H532" s="558"/>
      <c r="I532" s="558"/>
      <c r="J532" s="558"/>
      <c r="K532" s="558"/>
      <c r="L532" s="558"/>
      <c r="M532" s="573"/>
      <c r="N532" s="558"/>
      <c r="O532" s="558"/>
      <c r="P532" s="558"/>
    </row>
    <row r="533" spans="3:16" x14ac:dyDescent="0.2">
      <c r="C533" s="558"/>
      <c r="D533" s="558"/>
      <c r="E533" s="558"/>
      <c r="F533" s="558"/>
      <c r="G533" s="558"/>
      <c r="H533" s="558"/>
      <c r="I533" s="558"/>
      <c r="J533" s="558"/>
      <c r="K533" s="558"/>
      <c r="L533" s="558"/>
      <c r="M533" s="573"/>
      <c r="N533" s="558"/>
      <c r="O533" s="558"/>
      <c r="P533" s="558"/>
    </row>
    <row r="534" spans="3:16" x14ac:dyDescent="0.2">
      <c r="C534" s="558"/>
      <c r="D534" s="558"/>
      <c r="E534" s="558"/>
      <c r="F534" s="558"/>
      <c r="G534" s="558"/>
      <c r="H534" s="558"/>
      <c r="I534" s="558"/>
      <c r="J534" s="558"/>
      <c r="K534" s="558"/>
      <c r="L534" s="558"/>
      <c r="M534" s="573"/>
      <c r="N534" s="558"/>
      <c r="O534" s="558"/>
      <c r="P534" s="558"/>
    </row>
    <row r="535" spans="3:16" x14ac:dyDescent="0.2">
      <c r="C535" s="558"/>
      <c r="D535" s="558"/>
      <c r="E535" s="558"/>
      <c r="F535" s="558"/>
      <c r="G535" s="558"/>
      <c r="H535" s="558"/>
      <c r="I535" s="558"/>
      <c r="J535" s="558"/>
      <c r="K535" s="558"/>
      <c r="L535" s="558"/>
      <c r="M535" s="573"/>
      <c r="N535" s="558"/>
      <c r="O535" s="558"/>
      <c r="P535" s="558"/>
    </row>
    <row r="536" spans="3:16" x14ac:dyDescent="0.2">
      <c r="C536" s="558"/>
      <c r="D536" s="558"/>
      <c r="E536" s="558"/>
      <c r="F536" s="558"/>
      <c r="G536" s="558"/>
      <c r="H536" s="558"/>
      <c r="I536" s="558"/>
      <c r="J536" s="558"/>
      <c r="K536" s="558"/>
      <c r="L536" s="558"/>
      <c r="M536" s="573"/>
      <c r="N536" s="558"/>
      <c r="O536" s="558"/>
      <c r="P536" s="558"/>
    </row>
    <row r="537" spans="3:16" x14ac:dyDescent="0.2">
      <c r="C537" s="558"/>
      <c r="D537" s="558"/>
      <c r="E537" s="558"/>
      <c r="F537" s="558"/>
      <c r="G537" s="558"/>
      <c r="H537" s="558"/>
      <c r="I537" s="558"/>
      <c r="J537" s="558"/>
      <c r="K537" s="558"/>
      <c r="L537" s="558"/>
      <c r="M537" s="573"/>
      <c r="N537" s="558"/>
      <c r="O537" s="558"/>
      <c r="P537" s="558"/>
    </row>
    <row r="538" spans="3:16" x14ac:dyDescent="0.2">
      <c r="C538" s="558"/>
      <c r="D538" s="558"/>
      <c r="E538" s="558"/>
      <c r="F538" s="558"/>
      <c r="G538" s="558"/>
      <c r="H538" s="558"/>
      <c r="I538" s="558"/>
      <c r="J538" s="558"/>
      <c r="K538" s="558"/>
      <c r="L538" s="558"/>
      <c r="M538" s="573"/>
      <c r="N538" s="558"/>
      <c r="O538" s="558"/>
      <c r="P538" s="558"/>
    </row>
    <row r="539" spans="3:16" x14ac:dyDescent="0.2">
      <c r="C539" s="558"/>
      <c r="D539" s="558"/>
      <c r="E539" s="558"/>
      <c r="F539" s="558"/>
      <c r="G539" s="558"/>
      <c r="H539" s="558"/>
      <c r="I539" s="558"/>
      <c r="J539" s="558"/>
      <c r="K539" s="558"/>
      <c r="L539" s="558"/>
      <c r="M539" s="573"/>
      <c r="N539" s="558"/>
      <c r="O539" s="558"/>
      <c r="P539" s="558"/>
    </row>
    <row r="540" spans="3:16" x14ac:dyDescent="0.2">
      <c r="C540" s="558"/>
      <c r="D540" s="558"/>
      <c r="E540" s="558"/>
      <c r="F540" s="558"/>
      <c r="G540" s="558"/>
      <c r="H540" s="558"/>
      <c r="I540" s="558"/>
      <c r="J540" s="558"/>
      <c r="K540" s="558"/>
      <c r="L540" s="558"/>
      <c r="M540" s="573"/>
      <c r="N540" s="558"/>
      <c r="O540" s="558"/>
      <c r="P540" s="558"/>
    </row>
    <row r="541" spans="3:16" x14ac:dyDescent="0.2">
      <c r="C541" s="558"/>
      <c r="D541" s="558"/>
      <c r="E541" s="558"/>
      <c r="F541" s="558"/>
      <c r="G541" s="558"/>
      <c r="H541" s="558"/>
      <c r="I541" s="558"/>
      <c r="J541" s="558"/>
      <c r="K541" s="558"/>
      <c r="L541" s="558"/>
      <c r="M541" s="573"/>
      <c r="N541" s="558"/>
      <c r="O541" s="558"/>
      <c r="P541" s="558"/>
    </row>
    <row r="542" spans="3:16" x14ac:dyDescent="0.2">
      <c r="C542" s="558"/>
      <c r="D542" s="558"/>
      <c r="E542" s="558"/>
      <c r="F542" s="558"/>
      <c r="G542" s="558"/>
      <c r="H542" s="558"/>
      <c r="I542" s="558"/>
      <c r="J542" s="558"/>
      <c r="K542" s="558"/>
      <c r="L542" s="558"/>
      <c r="M542" s="573"/>
      <c r="N542" s="558"/>
      <c r="O542" s="558"/>
      <c r="P542" s="558"/>
    </row>
    <row r="543" spans="3:16" x14ac:dyDescent="0.2">
      <c r="C543" s="558"/>
      <c r="D543" s="558"/>
      <c r="E543" s="558"/>
      <c r="F543" s="558"/>
      <c r="G543" s="558"/>
      <c r="H543" s="558"/>
      <c r="I543" s="558"/>
      <c r="J543" s="558"/>
      <c r="K543" s="558"/>
      <c r="L543" s="558"/>
      <c r="M543" s="573"/>
      <c r="N543" s="558"/>
      <c r="O543" s="558"/>
      <c r="P543" s="558"/>
    </row>
    <row r="544" spans="3:16" x14ac:dyDescent="0.2">
      <c r="C544" s="558"/>
      <c r="D544" s="558"/>
      <c r="E544" s="558"/>
      <c r="F544" s="558"/>
      <c r="G544" s="558"/>
      <c r="H544" s="558"/>
      <c r="I544" s="558"/>
      <c r="J544" s="558"/>
      <c r="K544" s="558"/>
      <c r="L544" s="558"/>
      <c r="M544" s="573"/>
      <c r="N544" s="558"/>
      <c r="O544" s="558"/>
      <c r="P544" s="558"/>
    </row>
    <row r="545" spans="3:16" x14ac:dyDescent="0.2">
      <c r="C545" s="558"/>
      <c r="D545" s="558"/>
      <c r="E545" s="558"/>
      <c r="F545" s="558"/>
      <c r="G545" s="558"/>
      <c r="H545" s="558"/>
      <c r="I545" s="558"/>
      <c r="J545" s="558"/>
      <c r="K545" s="558"/>
      <c r="L545" s="558"/>
      <c r="M545" s="573"/>
      <c r="N545" s="558"/>
      <c r="O545" s="558"/>
      <c r="P545" s="558"/>
    </row>
    <row r="546" spans="3:16" x14ac:dyDescent="0.2">
      <c r="C546" s="558"/>
      <c r="D546" s="558"/>
      <c r="E546" s="558"/>
      <c r="F546" s="558"/>
      <c r="G546" s="558"/>
      <c r="H546" s="558"/>
      <c r="I546" s="558"/>
      <c r="J546" s="558"/>
      <c r="K546" s="558"/>
      <c r="L546" s="558"/>
      <c r="M546" s="573"/>
      <c r="N546" s="558"/>
      <c r="O546" s="558"/>
      <c r="P546" s="558"/>
    </row>
    <row r="547" spans="3:16" x14ac:dyDescent="0.2">
      <c r="C547" s="558"/>
      <c r="D547" s="558"/>
      <c r="E547" s="558"/>
      <c r="F547" s="558"/>
      <c r="G547" s="558"/>
      <c r="H547" s="558"/>
      <c r="I547" s="558"/>
      <c r="J547" s="558"/>
      <c r="K547" s="558"/>
      <c r="L547" s="558"/>
      <c r="M547" s="573"/>
      <c r="N547" s="558"/>
      <c r="O547" s="558"/>
      <c r="P547" s="558"/>
    </row>
    <row r="548" spans="3:16" x14ac:dyDescent="0.2">
      <c r="C548" s="558"/>
      <c r="D548" s="558"/>
      <c r="E548" s="558"/>
      <c r="F548" s="558"/>
      <c r="G548" s="558"/>
      <c r="H548" s="558"/>
      <c r="I548" s="558"/>
      <c r="J548" s="558"/>
      <c r="K548" s="558"/>
      <c r="L548" s="558"/>
      <c r="M548" s="573"/>
      <c r="N548" s="558"/>
      <c r="O548" s="558"/>
      <c r="P548" s="558"/>
    </row>
    <row r="549" spans="3:16" x14ac:dyDescent="0.2">
      <c r="C549" s="558"/>
      <c r="D549" s="558"/>
      <c r="E549" s="558"/>
      <c r="F549" s="558"/>
      <c r="G549" s="558"/>
      <c r="H549" s="558"/>
      <c r="I549" s="558"/>
      <c r="J549" s="558"/>
      <c r="K549" s="558"/>
      <c r="L549" s="558"/>
      <c r="M549" s="573"/>
      <c r="N549" s="558"/>
      <c r="O549" s="558"/>
      <c r="P549" s="558"/>
    </row>
    <row r="550" spans="3:16" x14ac:dyDescent="0.2">
      <c r="C550" s="558"/>
      <c r="D550" s="558"/>
      <c r="E550" s="558"/>
      <c r="F550" s="558"/>
      <c r="G550" s="558"/>
      <c r="H550" s="558"/>
      <c r="I550" s="558"/>
      <c r="J550" s="558"/>
      <c r="K550" s="558"/>
      <c r="L550" s="558"/>
      <c r="M550" s="573"/>
      <c r="N550" s="558"/>
      <c r="O550" s="558"/>
      <c r="P550" s="558"/>
    </row>
    <row r="551" spans="3:16" x14ac:dyDescent="0.2">
      <c r="C551" s="558"/>
      <c r="D551" s="558"/>
      <c r="E551" s="558"/>
      <c r="F551" s="558"/>
      <c r="G551" s="558"/>
      <c r="H551" s="558"/>
      <c r="I551" s="558"/>
      <c r="J551" s="558"/>
      <c r="K551" s="558"/>
      <c r="L551" s="558"/>
      <c r="M551" s="573"/>
      <c r="N551" s="558"/>
      <c r="O551" s="558"/>
      <c r="P551" s="558"/>
    </row>
    <row r="552" spans="3:16" x14ac:dyDescent="0.2">
      <c r="C552" s="558"/>
      <c r="D552" s="558"/>
      <c r="E552" s="558"/>
      <c r="F552" s="558"/>
      <c r="G552" s="558"/>
      <c r="H552" s="558"/>
      <c r="I552" s="558"/>
      <c r="J552" s="558"/>
      <c r="K552" s="558"/>
      <c r="L552" s="558"/>
      <c r="M552" s="573"/>
      <c r="N552" s="558"/>
      <c r="O552" s="558"/>
      <c r="P552" s="558"/>
    </row>
    <row r="553" spans="3:16" x14ac:dyDescent="0.2">
      <c r="C553" s="558"/>
      <c r="D553" s="558"/>
      <c r="E553" s="558"/>
      <c r="F553" s="558"/>
      <c r="G553" s="558"/>
      <c r="H553" s="558"/>
      <c r="I553" s="558"/>
      <c r="J553" s="558"/>
      <c r="K553" s="558"/>
      <c r="L553" s="558"/>
      <c r="M553" s="573"/>
      <c r="N553" s="558"/>
      <c r="O553" s="558"/>
      <c r="P553" s="558"/>
    </row>
    <row r="554" spans="3:16" x14ac:dyDescent="0.2">
      <c r="C554" s="558"/>
      <c r="D554" s="558"/>
      <c r="E554" s="558"/>
      <c r="F554" s="558"/>
      <c r="G554" s="558"/>
      <c r="H554" s="558"/>
      <c r="I554" s="558"/>
      <c r="J554" s="558"/>
      <c r="K554" s="558"/>
      <c r="L554" s="558"/>
      <c r="M554" s="573"/>
      <c r="N554" s="558"/>
      <c r="O554" s="558"/>
      <c r="P554" s="558"/>
    </row>
    <row r="555" spans="3:16" x14ac:dyDescent="0.2">
      <c r="C555" s="558"/>
      <c r="D555" s="558"/>
      <c r="E555" s="558"/>
      <c r="F555" s="558"/>
      <c r="G555" s="558"/>
      <c r="H555" s="558"/>
      <c r="I555" s="558"/>
      <c r="J555" s="558"/>
      <c r="K555" s="558"/>
      <c r="L555" s="558"/>
      <c r="M555" s="573"/>
      <c r="N555" s="558"/>
      <c r="O555" s="558"/>
      <c r="P555" s="558"/>
    </row>
    <row r="556" spans="3:16" x14ac:dyDescent="0.2">
      <c r="C556" s="558"/>
      <c r="D556" s="558"/>
      <c r="E556" s="558"/>
      <c r="F556" s="558"/>
      <c r="G556" s="558"/>
      <c r="H556" s="558"/>
      <c r="I556" s="558"/>
      <c r="J556" s="558"/>
      <c r="K556" s="558"/>
      <c r="L556" s="558"/>
      <c r="M556" s="573"/>
      <c r="N556" s="558"/>
      <c r="O556" s="558"/>
      <c r="P556" s="558"/>
    </row>
    <row r="557" spans="3:16" x14ac:dyDescent="0.2">
      <c r="C557" s="558"/>
      <c r="D557" s="558"/>
      <c r="E557" s="558"/>
      <c r="F557" s="558"/>
      <c r="G557" s="558"/>
      <c r="H557" s="558"/>
      <c r="I557" s="558"/>
      <c r="J557" s="558"/>
      <c r="K557" s="558"/>
      <c r="L557" s="558"/>
      <c r="M557" s="573"/>
      <c r="N557" s="558"/>
      <c r="O557" s="558"/>
      <c r="P557" s="558"/>
    </row>
    <row r="558" spans="3:16" x14ac:dyDescent="0.2">
      <c r="C558" s="558"/>
      <c r="D558" s="558"/>
      <c r="E558" s="558"/>
      <c r="F558" s="558"/>
      <c r="G558" s="558"/>
      <c r="H558" s="558"/>
      <c r="I558" s="558"/>
      <c r="J558" s="558"/>
      <c r="K558" s="558"/>
      <c r="L558" s="558"/>
      <c r="M558" s="573"/>
      <c r="N558" s="558"/>
      <c r="O558" s="558"/>
      <c r="P558" s="558"/>
    </row>
    <row r="559" spans="3:16" x14ac:dyDescent="0.2">
      <c r="C559" s="558"/>
      <c r="D559" s="558"/>
      <c r="E559" s="558"/>
      <c r="F559" s="558"/>
      <c r="G559" s="558"/>
      <c r="H559" s="558"/>
      <c r="I559" s="558"/>
      <c r="J559" s="558"/>
      <c r="K559" s="558"/>
      <c r="L559" s="558"/>
      <c r="M559" s="573"/>
      <c r="N559" s="558"/>
      <c r="O559" s="558"/>
      <c r="P559" s="558"/>
    </row>
    <row r="560" spans="3:16" x14ac:dyDescent="0.2">
      <c r="C560" s="558"/>
      <c r="D560" s="558"/>
      <c r="E560" s="558"/>
      <c r="F560" s="558"/>
      <c r="G560" s="558"/>
      <c r="H560" s="558"/>
      <c r="I560" s="558"/>
      <c r="J560" s="558"/>
      <c r="K560" s="558"/>
      <c r="L560" s="558"/>
      <c r="M560" s="573"/>
      <c r="N560" s="558"/>
      <c r="O560" s="558"/>
      <c r="P560" s="558"/>
    </row>
    <row r="561" spans="3:16" x14ac:dyDescent="0.2">
      <c r="C561" s="558"/>
      <c r="D561" s="558"/>
      <c r="E561" s="558"/>
      <c r="F561" s="558"/>
      <c r="G561" s="558"/>
      <c r="H561" s="558"/>
      <c r="I561" s="558"/>
      <c r="J561" s="558"/>
      <c r="K561" s="558"/>
      <c r="L561" s="558"/>
      <c r="M561" s="573"/>
      <c r="N561" s="558"/>
      <c r="O561" s="558"/>
      <c r="P561" s="558"/>
    </row>
    <row r="562" spans="3:16" x14ac:dyDescent="0.2">
      <c r="C562" s="558"/>
      <c r="D562" s="558"/>
      <c r="E562" s="558"/>
      <c r="F562" s="558"/>
      <c r="G562" s="558"/>
      <c r="H562" s="558"/>
      <c r="I562" s="558"/>
      <c r="J562" s="558"/>
      <c r="K562" s="558"/>
      <c r="L562" s="558"/>
      <c r="M562" s="573"/>
      <c r="N562" s="558"/>
      <c r="O562" s="558"/>
      <c r="P562" s="558"/>
    </row>
    <row r="563" spans="3:16" x14ac:dyDescent="0.2">
      <c r="C563" s="558"/>
      <c r="D563" s="558"/>
      <c r="E563" s="558"/>
      <c r="F563" s="558"/>
      <c r="G563" s="558"/>
      <c r="H563" s="558"/>
      <c r="I563" s="558"/>
      <c r="J563" s="558"/>
      <c r="K563" s="558"/>
      <c r="L563" s="558"/>
      <c r="M563" s="573"/>
      <c r="N563" s="558"/>
      <c r="O563" s="558"/>
      <c r="P563" s="558"/>
    </row>
    <row r="564" spans="3:16" x14ac:dyDescent="0.2">
      <c r="C564" s="558"/>
      <c r="D564" s="558"/>
      <c r="E564" s="558"/>
      <c r="F564" s="558"/>
      <c r="G564" s="558"/>
      <c r="H564" s="558"/>
      <c r="I564" s="558"/>
      <c r="J564" s="558"/>
      <c r="K564" s="558"/>
      <c r="L564" s="558"/>
      <c r="M564" s="573"/>
      <c r="N564" s="558"/>
      <c r="O564" s="558"/>
      <c r="P564" s="558"/>
    </row>
    <row r="565" spans="3:16" x14ac:dyDescent="0.2">
      <c r="C565" s="558"/>
      <c r="D565" s="558"/>
      <c r="E565" s="558"/>
      <c r="F565" s="558"/>
      <c r="G565" s="558"/>
      <c r="H565" s="558"/>
      <c r="I565" s="558"/>
      <c r="J565" s="558"/>
      <c r="K565" s="558"/>
      <c r="L565" s="558"/>
      <c r="M565" s="573"/>
      <c r="N565" s="558"/>
      <c r="O565" s="558"/>
      <c r="P565" s="558"/>
    </row>
    <row r="566" spans="3:16" x14ac:dyDescent="0.2">
      <c r="C566" s="558"/>
      <c r="D566" s="558"/>
      <c r="E566" s="558"/>
      <c r="F566" s="558"/>
      <c r="G566" s="558"/>
      <c r="H566" s="558"/>
      <c r="I566" s="558"/>
      <c r="J566" s="558"/>
      <c r="K566" s="558"/>
      <c r="L566" s="558"/>
      <c r="M566" s="573"/>
      <c r="N566" s="558"/>
      <c r="O566" s="558"/>
      <c r="P566" s="558"/>
    </row>
    <row r="567" spans="3:16" x14ac:dyDescent="0.2">
      <c r="C567" s="558"/>
      <c r="D567" s="558"/>
      <c r="E567" s="558"/>
      <c r="F567" s="558"/>
      <c r="G567" s="558"/>
      <c r="H567" s="558"/>
      <c r="I567" s="558"/>
      <c r="J567" s="558"/>
      <c r="K567" s="558"/>
      <c r="L567" s="558"/>
      <c r="M567" s="573"/>
      <c r="N567" s="558"/>
      <c r="O567" s="558"/>
      <c r="P567" s="558"/>
    </row>
    <row r="568" spans="3:16" x14ac:dyDescent="0.2">
      <c r="C568" s="558"/>
      <c r="D568" s="558"/>
      <c r="E568" s="558"/>
      <c r="F568" s="558"/>
      <c r="G568" s="558"/>
      <c r="H568" s="558"/>
      <c r="I568" s="558"/>
      <c r="J568" s="558"/>
      <c r="K568" s="558"/>
      <c r="L568" s="558"/>
      <c r="M568" s="573"/>
      <c r="N568" s="558"/>
      <c r="O568" s="558"/>
      <c r="P568" s="558"/>
    </row>
    <row r="569" spans="3:16" x14ac:dyDescent="0.2">
      <c r="C569" s="558"/>
      <c r="D569" s="558"/>
      <c r="E569" s="558"/>
      <c r="F569" s="558"/>
      <c r="G569" s="558"/>
      <c r="H569" s="558"/>
      <c r="I569" s="558"/>
      <c r="J569" s="558"/>
      <c r="K569" s="558"/>
      <c r="L569" s="558"/>
      <c r="M569" s="573"/>
      <c r="N569" s="558"/>
      <c r="O569" s="558"/>
      <c r="P569" s="558"/>
    </row>
    <row r="570" spans="3:16" x14ac:dyDescent="0.2">
      <c r="C570" s="558"/>
      <c r="D570" s="558"/>
      <c r="E570" s="558"/>
      <c r="F570" s="558"/>
      <c r="G570" s="558"/>
      <c r="H570" s="558"/>
      <c r="I570" s="558"/>
      <c r="J570" s="558"/>
      <c r="K570" s="558"/>
      <c r="L570" s="558"/>
      <c r="M570" s="573"/>
      <c r="N570" s="558"/>
      <c r="O570" s="558"/>
      <c r="P570" s="558"/>
    </row>
    <row r="571" spans="3:16" x14ac:dyDescent="0.2">
      <c r="C571" s="558"/>
      <c r="D571" s="558"/>
      <c r="E571" s="558"/>
      <c r="F571" s="558"/>
      <c r="G571" s="558"/>
      <c r="H571" s="558"/>
      <c r="I571" s="558"/>
      <c r="J571" s="558"/>
      <c r="K571" s="558"/>
      <c r="L571" s="558"/>
      <c r="M571" s="573"/>
      <c r="N571" s="558"/>
      <c r="O571" s="558"/>
      <c r="P571" s="558"/>
    </row>
    <row r="572" spans="3:16" x14ac:dyDescent="0.2">
      <c r="C572" s="558"/>
      <c r="D572" s="558"/>
      <c r="E572" s="558"/>
      <c r="F572" s="558"/>
      <c r="G572" s="558"/>
      <c r="H572" s="558"/>
      <c r="I572" s="558"/>
      <c r="J572" s="558"/>
      <c r="K572" s="558"/>
      <c r="L572" s="558"/>
      <c r="M572" s="573"/>
      <c r="N572" s="558"/>
      <c r="O572" s="558"/>
      <c r="P572" s="558"/>
    </row>
    <row r="573" spans="3:16" x14ac:dyDescent="0.2">
      <c r="C573" s="558"/>
      <c r="D573" s="558"/>
      <c r="E573" s="558"/>
      <c r="F573" s="558"/>
      <c r="G573" s="558"/>
      <c r="H573" s="558"/>
      <c r="I573" s="558"/>
      <c r="J573" s="558"/>
      <c r="K573" s="558"/>
      <c r="L573" s="558"/>
      <c r="M573" s="573"/>
      <c r="N573" s="558"/>
      <c r="O573" s="558"/>
      <c r="P573" s="558"/>
    </row>
    <row r="574" spans="3:16" x14ac:dyDescent="0.2">
      <c r="C574" s="558"/>
      <c r="D574" s="558"/>
      <c r="E574" s="558"/>
      <c r="F574" s="558"/>
      <c r="G574" s="558"/>
      <c r="H574" s="558"/>
      <c r="I574" s="558"/>
      <c r="J574" s="558"/>
      <c r="K574" s="558"/>
      <c r="L574" s="558"/>
      <c r="M574" s="573"/>
      <c r="N574" s="558"/>
      <c r="O574" s="558"/>
      <c r="P574" s="558"/>
    </row>
    <row r="575" spans="3:16" x14ac:dyDescent="0.2">
      <c r="C575" s="558"/>
      <c r="D575" s="558"/>
      <c r="E575" s="558"/>
      <c r="F575" s="558"/>
      <c r="G575" s="558"/>
      <c r="H575" s="558"/>
      <c r="I575" s="558"/>
      <c r="J575" s="558"/>
      <c r="K575" s="558"/>
      <c r="L575" s="558"/>
      <c r="M575" s="573"/>
      <c r="N575" s="558"/>
      <c r="O575" s="558"/>
      <c r="P575" s="558"/>
    </row>
    <row r="576" spans="3:16" x14ac:dyDescent="0.2">
      <c r="C576" s="558"/>
      <c r="D576" s="558"/>
      <c r="E576" s="558"/>
      <c r="F576" s="558"/>
      <c r="G576" s="558"/>
      <c r="H576" s="558"/>
      <c r="I576" s="558"/>
      <c r="J576" s="558"/>
      <c r="K576" s="558"/>
      <c r="L576" s="558"/>
      <c r="M576" s="573"/>
      <c r="N576" s="558"/>
      <c r="O576" s="558"/>
      <c r="P576" s="558"/>
    </row>
    <row r="577" spans="3:16" x14ac:dyDescent="0.2">
      <c r="C577" s="558"/>
      <c r="D577" s="558"/>
      <c r="E577" s="558"/>
      <c r="F577" s="558"/>
      <c r="G577" s="558"/>
      <c r="H577" s="558"/>
      <c r="I577" s="558"/>
      <c r="J577" s="558"/>
      <c r="K577" s="558"/>
      <c r="L577" s="558"/>
      <c r="M577" s="573"/>
      <c r="N577" s="558"/>
      <c r="O577" s="558"/>
      <c r="P577" s="558"/>
    </row>
    <row r="578" spans="3:16" x14ac:dyDescent="0.2">
      <c r="C578" s="558"/>
      <c r="D578" s="558"/>
      <c r="E578" s="558"/>
      <c r="F578" s="558"/>
      <c r="G578" s="558"/>
      <c r="H578" s="558"/>
      <c r="I578" s="558"/>
      <c r="J578" s="558"/>
      <c r="K578" s="558"/>
      <c r="L578" s="558"/>
      <c r="M578" s="573"/>
      <c r="N578" s="558"/>
      <c r="O578" s="558"/>
      <c r="P578" s="558"/>
    </row>
    <row r="579" spans="3:16" x14ac:dyDescent="0.2">
      <c r="C579" s="558"/>
      <c r="D579" s="558"/>
      <c r="E579" s="558"/>
      <c r="F579" s="558"/>
      <c r="G579" s="558"/>
      <c r="H579" s="558"/>
      <c r="I579" s="558"/>
      <c r="J579" s="558"/>
      <c r="K579" s="558"/>
      <c r="L579" s="558"/>
      <c r="M579" s="573"/>
      <c r="N579" s="558"/>
      <c r="O579" s="558"/>
      <c r="P579" s="558"/>
    </row>
    <row r="580" spans="3:16" x14ac:dyDescent="0.2">
      <c r="C580" s="558"/>
      <c r="D580" s="558"/>
      <c r="E580" s="558"/>
      <c r="F580" s="558"/>
      <c r="G580" s="558"/>
      <c r="H580" s="558"/>
      <c r="I580" s="558"/>
      <c r="J580" s="558"/>
      <c r="K580" s="558"/>
      <c r="L580" s="558"/>
      <c r="M580" s="573"/>
      <c r="N580" s="558"/>
      <c r="O580" s="558"/>
      <c r="P580" s="558"/>
    </row>
    <row r="581" spans="3:16" x14ac:dyDescent="0.2">
      <c r="C581" s="558"/>
      <c r="D581" s="558"/>
      <c r="E581" s="558"/>
      <c r="F581" s="558"/>
      <c r="G581" s="558"/>
      <c r="H581" s="558"/>
      <c r="I581" s="558"/>
      <c r="J581" s="558"/>
      <c r="K581" s="558"/>
      <c r="L581" s="558"/>
      <c r="M581" s="573"/>
      <c r="N581" s="558"/>
      <c r="O581" s="558"/>
      <c r="P581" s="558"/>
    </row>
    <row r="582" spans="3:16" x14ac:dyDescent="0.2">
      <c r="C582" s="558"/>
      <c r="D582" s="558"/>
      <c r="E582" s="558"/>
      <c r="F582" s="558"/>
      <c r="G582" s="558"/>
      <c r="H582" s="558"/>
      <c r="I582" s="558"/>
      <c r="J582" s="558"/>
      <c r="K582" s="558"/>
      <c r="L582" s="558"/>
      <c r="M582" s="573"/>
      <c r="N582" s="558"/>
      <c r="O582" s="558"/>
      <c r="P582" s="558"/>
    </row>
    <row r="583" spans="3:16" x14ac:dyDescent="0.2">
      <c r="C583" s="558"/>
      <c r="D583" s="558"/>
      <c r="E583" s="558"/>
      <c r="F583" s="558"/>
      <c r="G583" s="558"/>
      <c r="H583" s="558"/>
      <c r="I583" s="558"/>
      <c r="J583" s="558"/>
      <c r="K583" s="558"/>
      <c r="L583" s="558"/>
      <c r="M583" s="573"/>
      <c r="N583" s="558"/>
      <c r="O583" s="558"/>
      <c r="P583" s="558"/>
    </row>
    <row r="584" spans="3:16" x14ac:dyDescent="0.2">
      <c r="C584" s="558"/>
      <c r="D584" s="558"/>
      <c r="E584" s="558"/>
      <c r="F584" s="558"/>
      <c r="G584" s="558"/>
      <c r="H584" s="558"/>
      <c r="I584" s="558"/>
      <c r="J584" s="558"/>
      <c r="K584" s="558"/>
      <c r="L584" s="558"/>
      <c r="M584" s="573"/>
      <c r="N584" s="558"/>
      <c r="O584" s="558"/>
      <c r="P584" s="558"/>
    </row>
    <row r="585" spans="3:16" x14ac:dyDescent="0.2">
      <c r="C585" s="558"/>
      <c r="D585" s="558"/>
      <c r="E585" s="558"/>
      <c r="F585" s="558"/>
      <c r="G585" s="558"/>
      <c r="H585" s="558"/>
      <c r="I585" s="558"/>
      <c r="J585" s="558"/>
      <c r="K585" s="558"/>
      <c r="L585" s="558"/>
      <c r="M585" s="573"/>
      <c r="N585" s="558"/>
      <c r="O585" s="558"/>
      <c r="P585" s="558"/>
    </row>
    <row r="586" spans="3:16" x14ac:dyDescent="0.2">
      <c r="C586" s="558"/>
      <c r="D586" s="558"/>
      <c r="E586" s="558"/>
      <c r="F586" s="558"/>
      <c r="G586" s="558"/>
      <c r="H586" s="558"/>
      <c r="I586" s="558"/>
      <c r="J586" s="558"/>
      <c r="K586" s="558"/>
      <c r="L586" s="558"/>
      <c r="M586" s="573"/>
      <c r="N586" s="558"/>
      <c r="O586" s="558"/>
      <c r="P586" s="558"/>
    </row>
    <row r="587" spans="3:16" x14ac:dyDescent="0.2">
      <c r="C587" s="558"/>
      <c r="D587" s="558"/>
      <c r="E587" s="558"/>
      <c r="F587" s="558"/>
      <c r="G587" s="558"/>
      <c r="H587" s="558"/>
      <c r="I587" s="558"/>
      <c r="J587" s="558"/>
      <c r="K587" s="558"/>
      <c r="L587" s="558"/>
      <c r="M587" s="573"/>
      <c r="N587" s="558"/>
      <c r="O587" s="558"/>
      <c r="P587" s="558"/>
    </row>
    <row r="588" spans="3:16" x14ac:dyDescent="0.2">
      <c r="C588" s="558"/>
      <c r="D588" s="558"/>
      <c r="E588" s="558"/>
      <c r="F588" s="558"/>
      <c r="G588" s="558"/>
      <c r="H588" s="558"/>
      <c r="I588" s="558"/>
      <c r="J588" s="558"/>
      <c r="K588" s="558"/>
      <c r="L588" s="558"/>
      <c r="M588" s="573"/>
      <c r="N588" s="558"/>
      <c r="O588" s="558"/>
      <c r="P588" s="558"/>
    </row>
    <row r="589" spans="3:16" x14ac:dyDescent="0.2">
      <c r="C589" s="558"/>
      <c r="D589" s="558"/>
      <c r="E589" s="558"/>
      <c r="F589" s="558"/>
      <c r="G589" s="558"/>
      <c r="H589" s="558"/>
      <c r="I589" s="558"/>
      <c r="J589" s="558"/>
      <c r="K589" s="558"/>
      <c r="L589" s="558"/>
      <c r="M589" s="573"/>
      <c r="N589" s="558"/>
      <c r="O589" s="558"/>
      <c r="P589" s="558"/>
    </row>
    <row r="590" spans="3:16" x14ac:dyDescent="0.2">
      <c r="C590" s="558"/>
      <c r="D590" s="558"/>
      <c r="E590" s="558"/>
      <c r="F590" s="558"/>
      <c r="G590" s="558"/>
      <c r="H590" s="558"/>
      <c r="I590" s="558"/>
      <c r="J590" s="558"/>
      <c r="K590" s="558"/>
      <c r="L590" s="558"/>
      <c r="M590" s="573"/>
      <c r="N590" s="558"/>
      <c r="O590" s="558"/>
      <c r="P590" s="558"/>
    </row>
    <row r="591" spans="3:16" x14ac:dyDescent="0.2">
      <c r="C591" s="558"/>
      <c r="D591" s="558"/>
      <c r="E591" s="558"/>
      <c r="F591" s="558"/>
      <c r="G591" s="558"/>
      <c r="H591" s="558"/>
      <c r="I591" s="558"/>
      <c r="J591" s="558"/>
      <c r="K591" s="558"/>
      <c r="L591" s="558"/>
      <c r="M591" s="573"/>
      <c r="N591" s="558"/>
      <c r="O591" s="558"/>
      <c r="P591" s="558"/>
    </row>
    <row r="592" spans="3:16" x14ac:dyDescent="0.2">
      <c r="C592" s="558"/>
      <c r="D592" s="558"/>
      <c r="E592" s="558"/>
      <c r="F592" s="558"/>
      <c r="G592" s="558"/>
      <c r="H592" s="558"/>
      <c r="I592" s="558"/>
      <c r="J592" s="558"/>
      <c r="K592" s="558"/>
      <c r="L592" s="558"/>
      <c r="M592" s="573"/>
      <c r="N592" s="558"/>
      <c r="O592" s="558"/>
      <c r="P592" s="558"/>
    </row>
    <row r="593" spans="3:16" x14ac:dyDescent="0.2">
      <c r="C593" s="558"/>
      <c r="D593" s="558"/>
      <c r="E593" s="558"/>
      <c r="F593" s="558"/>
      <c r="G593" s="558"/>
      <c r="H593" s="558"/>
      <c r="I593" s="558"/>
      <c r="J593" s="558"/>
      <c r="K593" s="558"/>
      <c r="L593" s="558"/>
      <c r="M593" s="573"/>
      <c r="N593" s="558"/>
      <c r="O593" s="558"/>
      <c r="P593" s="558"/>
    </row>
    <row r="594" spans="3:16" x14ac:dyDescent="0.2">
      <c r="C594" s="558"/>
      <c r="D594" s="558"/>
      <c r="E594" s="558"/>
      <c r="F594" s="558"/>
      <c r="G594" s="558"/>
      <c r="H594" s="558"/>
      <c r="I594" s="558"/>
      <c r="J594" s="558"/>
      <c r="K594" s="558"/>
      <c r="L594" s="558"/>
      <c r="M594" s="573"/>
      <c r="N594" s="558"/>
      <c r="O594" s="558"/>
      <c r="P594" s="558"/>
    </row>
    <row r="595" spans="3:16" x14ac:dyDescent="0.2">
      <c r="C595" s="558"/>
      <c r="D595" s="558"/>
      <c r="E595" s="558"/>
      <c r="F595" s="558"/>
      <c r="G595" s="558"/>
      <c r="H595" s="558"/>
      <c r="I595" s="558"/>
      <c r="J595" s="558"/>
      <c r="K595" s="558"/>
      <c r="L595" s="558"/>
      <c r="M595" s="573"/>
      <c r="N595" s="558"/>
      <c r="O595" s="558"/>
      <c r="P595" s="558"/>
    </row>
    <row r="596" spans="3:16" x14ac:dyDescent="0.2">
      <c r="C596" s="558"/>
      <c r="D596" s="558"/>
      <c r="E596" s="558"/>
      <c r="F596" s="558"/>
      <c r="G596" s="558"/>
      <c r="H596" s="558"/>
      <c r="I596" s="558"/>
      <c r="J596" s="558"/>
      <c r="K596" s="558"/>
      <c r="L596" s="558"/>
      <c r="M596" s="573"/>
      <c r="N596" s="558"/>
      <c r="O596" s="558"/>
      <c r="P596" s="558"/>
    </row>
    <row r="597" spans="3:16" x14ac:dyDescent="0.2">
      <c r="C597" s="558"/>
      <c r="D597" s="558"/>
      <c r="E597" s="558"/>
      <c r="F597" s="558"/>
      <c r="G597" s="558"/>
      <c r="H597" s="558"/>
      <c r="I597" s="558"/>
      <c r="J597" s="558"/>
      <c r="K597" s="558"/>
      <c r="L597" s="558"/>
      <c r="M597" s="573"/>
      <c r="N597" s="558"/>
      <c r="O597" s="558"/>
      <c r="P597" s="558"/>
    </row>
    <row r="598" spans="3:16" x14ac:dyDescent="0.2">
      <c r="C598" s="558"/>
      <c r="D598" s="558"/>
      <c r="E598" s="558"/>
      <c r="F598" s="558"/>
      <c r="G598" s="558"/>
      <c r="H598" s="558"/>
      <c r="I598" s="558"/>
      <c r="J598" s="558"/>
      <c r="K598" s="558"/>
      <c r="L598" s="558"/>
      <c r="M598" s="573"/>
      <c r="N598" s="558"/>
      <c r="O598" s="558"/>
      <c r="P598" s="558"/>
    </row>
    <row r="599" spans="3:16" x14ac:dyDescent="0.2">
      <c r="C599" s="558"/>
      <c r="D599" s="558"/>
      <c r="E599" s="558"/>
      <c r="F599" s="558"/>
      <c r="G599" s="558"/>
      <c r="H599" s="558"/>
      <c r="I599" s="558"/>
      <c r="J599" s="558"/>
      <c r="K599" s="558"/>
      <c r="L599" s="558"/>
      <c r="M599" s="573"/>
      <c r="N599" s="558"/>
      <c r="O599" s="558"/>
      <c r="P599" s="558"/>
    </row>
    <row r="600" spans="3:16" x14ac:dyDescent="0.2">
      <c r="C600" s="558"/>
      <c r="D600" s="558"/>
      <c r="E600" s="558"/>
      <c r="F600" s="558"/>
      <c r="G600" s="558"/>
      <c r="H600" s="558"/>
      <c r="I600" s="558"/>
      <c r="J600" s="558"/>
      <c r="K600" s="558"/>
      <c r="L600" s="558"/>
      <c r="M600" s="573"/>
      <c r="N600" s="558"/>
      <c r="O600" s="558"/>
      <c r="P600" s="558"/>
    </row>
    <row r="601" spans="3:16" x14ac:dyDescent="0.2">
      <c r="C601" s="558"/>
      <c r="D601" s="558"/>
      <c r="E601" s="558"/>
      <c r="F601" s="558"/>
      <c r="G601" s="558"/>
      <c r="H601" s="558"/>
      <c r="I601" s="558"/>
      <c r="J601" s="558"/>
      <c r="K601" s="558"/>
      <c r="L601" s="558"/>
      <c r="M601" s="573"/>
      <c r="N601" s="558"/>
      <c r="O601" s="558"/>
      <c r="P601" s="558"/>
    </row>
    <row r="602" spans="3:16" x14ac:dyDescent="0.2">
      <c r="C602" s="558"/>
      <c r="D602" s="558"/>
      <c r="E602" s="558"/>
      <c r="F602" s="558"/>
      <c r="G602" s="558"/>
      <c r="H602" s="558"/>
      <c r="I602" s="558"/>
      <c r="J602" s="558"/>
      <c r="K602" s="558"/>
      <c r="L602" s="558"/>
      <c r="M602" s="573"/>
      <c r="N602" s="558"/>
      <c r="O602" s="558"/>
      <c r="P602" s="558"/>
    </row>
    <row r="603" spans="3:16" x14ac:dyDescent="0.2">
      <c r="C603" s="558"/>
      <c r="D603" s="558"/>
      <c r="E603" s="558"/>
      <c r="F603" s="558"/>
      <c r="G603" s="558"/>
      <c r="H603" s="558"/>
      <c r="I603" s="558"/>
      <c r="J603" s="558"/>
      <c r="K603" s="558"/>
      <c r="L603" s="558"/>
      <c r="M603" s="573"/>
      <c r="N603" s="558"/>
      <c r="O603" s="558"/>
      <c r="P603" s="558"/>
    </row>
    <row r="604" spans="3:16" x14ac:dyDescent="0.2">
      <c r="C604" s="558"/>
      <c r="D604" s="558"/>
      <c r="E604" s="558"/>
      <c r="F604" s="558"/>
      <c r="G604" s="558"/>
      <c r="H604" s="558"/>
      <c r="I604" s="558"/>
      <c r="J604" s="558"/>
      <c r="K604" s="558"/>
      <c r="L604" s="558"/>
      <c r="M604" s="573"/>
      <c r="N604" s="558"/>
      <c r="O604" s="558"/>
      <c r="P604" s="558"/>
    </row>
    <row r="605" spans="3:16" x14ac:dyDescent="0.2">
      <c r="C605" s="558"/>
      <c r="D605" s="558"/>
      <c r="E605" s="558"/>
      <c r="F605" s="558"/>
      <c r="G605" s="558"/>
      <c r="H605" s="558"/>
      <c r="I605" s="558"/>
      <c r="J605" s="558"/>
      <c r="K605" s="558"/>
      <c r="L605" s="558"/>
      <c r="M605" s="573"/>
      <c r="N605" s="558"/>
      <c r="O605" s="558"/>
      <c r="P605" s="558"/>
    </row>
    <row r="606" spans="3:16" x14ac:dyDescent="0.2">
      <c r="C606" s="558"/>
      <c r="D606" s="558"/>
      <c r="E606" s="558"/>
      <c r="F606" s="558"/>
      <c r="G606" s="558"/>
      <c r="H606" s="558"/>
      <c r="I606" s="558"/>
      <c r="J606" s="558"/>
      <c r="K606" s="558"/>
      <c r="L606" s="558"/>
      <c r="M606" s="573"/>
      <c r="N606" s="558"/>
      <c r="O606" s="558"/>
      <c r="P606" s="558"/>
    </row>
    <row r="607" spans="3:16" x14ac:dyDescent="0.2">
      <c r="C607" s="558"/>
      <c r="D607" s="558"/>
      <c r="E607" s="558"/>
      <c r="F607" s="558"/>
      <c r="G607" s="558"/>
      <c r="H607" s="558"/>
      <c r="I607" s="558"/>
      <c r="J607" s="558"/>
      <c r="K607" s="558"/>
      <c r="L607" s="558"/>
      <c r="M607" s="573"/>
      <c r="N607" s="558"/>
      <c r="O607" s="558"/>
      <c r="P607" s="558"/>
    </row>
    <row r="608" spans="3:16" x14ac:dyDescent="0.2">
      <c r="C608" s="558"/>
      <c r="D608" s="558"/>
      <c r="E608" s="558"/>
      <c r="F608" s="558"/>
      <c r="G608" s="558"/>
      <c r="H608" s="558"/>
      <c r="I608" s="558"/>
      <c r="J608" s="558"/>
      <c r="K608" s="558"/>
      <c r="L608" s="558"/>
      <c r="M608" s="573"/>
      <c r="N608" s="558"/>
      <c r="O608" s="558"/>
      <c r="P608" s="558"/>
    </row>
    <row r="609" spans="3:16" x14ac:dyDescent="0.2">
      <c r="C609" s="558"/>
      <c r="D609" s="558"/>
      <c r="E609" s="558"/>
      <c r="F609" s="558"/>
      <c r="G609" s="558"/>
      <c r="H609" s="558"/>
      <c r="I609" s="558"/>
      <c r="J609" s="558"/>
      <c r="K609" s="558"/>
      <c r="L609" s="558"/>
      <c r="M609" s="573"/>
      <c r="N609" s="558"/>
      <c r="O609" s="558"/>
      <c r="P609" s="558"/>
    </row>
    <row r="610" spans="3:16" x14ac:dyDescent="0.2">
      <c r="C610" s="558"/>
      <c r="D610" s="558"/>
      <c r="E610" s="558"/>
      <c r="F610" s="558"/>
      <c r="G610" s="558"/>
      <c r="H610" s="558"/>
      <c r="I610" s="558"/>
      <c r="J610" s="558"/>
      <c r="K610" s="558"/>
      <c r="L610" s="558"/>
      <c r="M610" s="573"/>
      <c r="N610" s="558"/>
      <c r="O610" s="558"/>
      <c r="P610" s="558"/>
    </row>
    <row r="611" spans="3:16" x14ac:dyDescent="0.2">
      <c r="C611" s="558"/>
      <c r="D611" s="558"/>
      <c r="E611" s="558"/>
      <c r="F611" s="558"/>
      <c r="G611" s="558"/>
      <c r="H611" s="558"/>
      <c r="I611" s="558"/>
      <c r="J611" s="558"/>
      <c r="K611" s="558"/>
      <c r="L611" s="558"/>
      <c r="M611" s="573"/>
      <c r="N611" s="558"/>
      <c r="O611" s="558"/>
      <c r="P611" s="558"/>
    </row>
    <row r="612" spans="3:16" x14ac:dyDescent="0.2">
      <c r="C612" s="558"/>
      <c r="D612" s="558"/>
      <c r="E612" s="558"/>
      <c r="F612" s="558"/>
      <c r="G612" s="558"/>
      <c r="H612" s="558"/>
      <c r="I612" s="558"/>
      <c r="J612" s="558"/>
      <c r="K612" s="558"/>
      <c r="L612" s="558"/>
      <c r="M612" s="573"/>
      <c r="N612" s="558"/>
      <c r="O612" s="558"/>
      <c r="P612" s="558"/>
    </row>
    <row r="613" spans="3:16" x14ac:dyDescent="0.2">
      <c r="C613" s="558"/>
      <c r="D613" s="558"/>
      <c r="E613" s="558"/>
      <c r="F613" s="558"/>
      <c r="G613" s="558"/>
      <c r="H613" s="558"/>
      <c r="I613" s="558"/>
      <c r="J613" s="558"/>
      <c r="K613" s="558"/>
      <c r="L613" s="558"/>
      <c r="M613" s="573"/>
      <c r="N613" s="558"/>
      <c r="O613" s="558"/>
      <c r="P613" s="558"/>
    </row>
    <row r="614" spans="3:16" x14ac:dyDescent="0.2">
      <c r="C614" s="558"/>
      <c r="D614" s="558"/>
      <c r="E614" s="558"/>
      <c r="F614" s="558"/>
      <c r="G614" s="558"/>
      <c r="H614" s="558"/>
      <c r="I614" s="558"/>
      <c r="J614" s="558"/>
      <c r="K614" s="558"/>
      <c r="L614" s="558"/>
      <c r="M614" s="573"/>
      <c r="N614" s="558"/>
      <c r="O614" s="558"/>
      <c r="P614" s="558"/>
    </row>
    <row r="615" spans="3:16" x14ac:dyDescent="0.2">
      <c r="C615" s="558"/>
      <c r="D615" s="558"/>
      <c r="E615" s="558"/>
      <c r="F615" s="558"/>
      <c r="G615" s="558"/>
      <c r="H615" s="558"/>
      <c r="I615" s="558"/>
      <c r="J615" s="558"/>
      <c r="K615" s="558"/>
      <c r="L615" s="558"/>
      <c r="M615" s="573"/>
      <c r="N615" s="558"/>
      <c r="O615" s="558"/>
      <c r="P615" s="558"/>
    </row>
    <row r="616" spans="3:16" x14ac:dyDescent="0.2">
      <c r="C616" s="558"/>
      <c r="D616" s="558"/>
      <c r="E616" s="558"/>
      <c r="F616" s="558"/>
      <c r="G616" s="558"/>
      <c r="H616" s="558"/>
      <c r="I616" s="558"/>
      <c r="J616" s="558"/>
      <c r="K616" s="558"/>
      <c r="L616" s="558"/>
      <c r="M616" s="573"/>
      <c r="N616" s="558"/>
      <c r="O616" s="558"/>
      <c r="P616" s="558"/>
    </row>
    <row r="617" spans="3:16" x14ac:dyDescent="0.2">
      <c r="C617" s="558"/>
      <c r="D617" s="558"/>
      <c r="E617" s="558"/>
      <c r="F617" s="558"/>
      <c r="G617" s="558"/>
      <c r="H617" s="558"/>
      <c r="I617" s="558"/>
      <c r="J617" s="558"/>
      <c r="K617" s="558"/>
      <c r="L617" s="558"/>
      <c r="M617" s="573"/>
      <c r="N617" s="558"/>
      <c r="O617" s="558"/>
      <c r="P617" s="558"/>
    </row>
    <row r="618" spans="3:16" x14ac:dyDescent="0.2">
      <c r="C618" s="558"/>
      <c r="D618" s="558"/>
      <c r="E618" s="558"/>
      <c r="F618" s="558"/>
      <c r="G618" s="558"/>
      <c r="H618" s="558"/>
      <c r="I618" s="558"/>
      <c r="J618" s="558"/>
      <c r="K618" s="558"/>
      <c r="L618" s="558"/>
      <c r="M618" s="573"/>
      <c r="N618" s="558"/>
      <c r="O618" s="558"/>
      <c r="P618" s="558"/>
    </row>
    <row r="619" spans="3:16" x14ac:dyDescent="0.2">
      <c r="C619" s="558"/>
      <c r="D619" s="558"/>
      <c r="E619" s="558"/>
      <c r="F619" s="558"/>
      <c r="G619" s="558"/>
      <c r="H619" s="558"/>
      <c r="I619" s="558"/>
      <c r="J619" s="558"/>
      <c r="K619" s="558"/>
      <c r="L619" s="558"/>
      <c r="M619" s="573"/>
      <c r="N619" s="558"/>
      <c r="O619" s="558"/>
      <c r="P619" s="558"/>
    </row>
    <row r="620" spans="3:16" x14ac:dyDescent="0.2">
      <c r="C620" s="558"/>
      <c r="D620" s="558"/>
      <c r="E620" s="558"/>
      <c r="F620" s="558"/>
      <c r="G620" s="558"/>
      <c r="H620" s="558"/>
      <c r="I620" s="558"/>
      <c r="J620" s="558"/>
      <c r="K620" s="558"/>
      <c r="L620" s="558"/>
      <c r="M620" s="573"/>
      <c r="N620" s="558"/>
      <c r="O620" s="558"/>
      <c r="P620" s="558"/>
    </row>
    <row r="621" spans="3:16" x14ac:dyDescent="0.2">
      <c r="C621" s="558"/>
      <c r="D621" s="558"/>
      <c r="E621" s="558"/>
      <c r="F621" s="558"/>
      <c r="G621" s="558"/>
      <c r="H621" s="558"/>
      <c r="I621" s="558"/>
      <c r="J621" s="558"/>
      <c r="K621" s="558"/>
      <c r="L621" s="558"/>
      <c r="M621" s="573"/>
      <c r="N621" s="558"/>
      <c r="O621" s="558"/>
      <c r="P621" s="558"/>
    </row>
    <row r="622" spans="3:16" x14ac:dyDescent="0.2">
      <c r="C622" s="558"/>
      <c r="D622" s="558"/>
      <c r="E622" s="558"/>
      <c r="F622" s="558"/>
      <c r="G622" s="558"/>
      <c r="H622" s="558"/>
      <c r="I622" s="558"/>
      <c r="J622" s="558"/>
      <c r="K622" s="558"/>
      <c r="L622" s="558"/>
      <c r="M622" s="573"/>
      <c r="N622" s="558"/>
      <c r="O622" s="558"/>
      <c r="P622" s="558"/>
    </row>
    <row r="623" spans="3:16" x14ac:dyDescent="0.2">
      <c r="C623" s="558"/>
      <c r="D623" s="558"/>
      <c r="E623" s="558"/>
      <c r="F623" s="558"/>
      <c r="G623" s="558"/>
      <c r="H623" s="558"/>
      <c r="I623" s="558"/>
      <c r="J623" s="558"/>
      <c r="K623" s="558"/>
      <c r="L623" s="558"/>
      <c r="M623" s="573"/>
      <c r="N623" s="558"/>
      <c r="O623" s="558"/>
      <c r="P623" s="558"/>
    </row>
    <row r="624" spans="3:16" x14ac:dyDescent="0.2">
      <c r="C624" s="558"/>
      <c r="D624" s="558"/>
      <c r="E624" s="558"/>
      <c r="F624" s="558"/>
      <c r="G624" s="558"/>
      <c r="H624" s="558"/>
      <c r="I624" s="558"/>
      <c r="J624" s="558"/>
      <c r="K624" s="558"/>
      <c r="L624" s="558"/>
      <c r="M624" s="573"/>
      <c r="N624" s="558"/>
      <c r="O624" s="558"/>
      <c r="P624" s="558"/>
    </row>
    <row r="625" spans="3:16" x14ac:dyDescent="0.2">
      <c r="C625" s="558"/>
      <c r="D625" s="558"/>
      <c r="E625" s="558"/>
      <c r="F625" s="558"/>
      <c r="G625" s="558"/>
      <c r="H625" s="558"/>
      <c r="I625" s="558"/>
      <c r="J625" s="558"/>
      <c r="K625" s="558"/>
      <c r="L625" s="558"/>
      <c r="M625" s="573"/>
      <c r="N625" s="558"/>
      <c r="O625" s="558"/>
      <c r="P625" s="558"/>
    </row>
    <row r="626" spans="3:16" x14ac:dyDescent="0.2">
      <c r="C626" s="558"/>
      <c r="D626" s="558"/>
      <c r="E626" s="558"/>
      <c r="F626" s="558"/>
      <c r="G626" s="558"/>
      <c r="H626" s="558"/>
      <c r="I626" s="558"/>
      <c r="J626" s="558"/>
      <c r="K626" s="558"/>
      <c r="L626" s="558"/>
      <c r="M626" s="573"/>
      <c r="N626" s="558"/>
      <c r="O626" s="558"/>
      <c r="P626" s="558"/>
    </row>
    <row r="627" spans="3:16" x14ac:dyDescent="0.2">
      <c r="C627" s="558"/>
      <c r="D627" s="558"/>
      <c r="E627" s="558"/>
      <c r="F627" s="558"/>
      <c r="G627" s="558"/>
      <c r="H627" s="558"/>
      <c r="I627" s="558"/>
      <c r="J627" s="558"/>
      <c r="K627" s="558"/>
      <c r="L627" s="558"/>
      <c r="M627" s="573"/>
      <c r="N627" s="558"/>
      <c r="O627" s="558"/>
      <c r="P627" s="558"/>
    </row>
    <row r="628" spans="3:16" x14ac:dyDescent="0.2">
      <c r="C628" s="558"/>
      <c r="D628" s="558"/>
      <c r="E628" s="558"/>
      <c r="F628" s="558"/>
      <c r="G628" s="558"/>
      <c r="H628" s="558"/>
      <c r="I628" s="558"/>
      <c r="J628" s="558"/>
      <c r="K628" s="558"/>
      <c r="L628" s="558"/>
      <c r="M628" s="573"/>
      <c r="N628" s="558"/>
      <c r="O628" s="558"/>
      <c r="P628" s="558"/>
    </row>
    <row r="629" spans="3:16" x14ac:dyDescent="0.2">
      <c r="C629" s="558"/>
      <c r="D629" s="558"/>
      <c r="E629" s="558"/>
      <c r="F629" s="558"/>
      <c r="G629" s="558"/>
      <c r="H629" s="558"/>
      <c r="I629" s="558"/>
      <c r="J629" s="558"/>
      <c r="K629" s="558"/>
      <c r="L629" s="558"/>
      <c r="M629" s="573"/>
      <c r="N629" s="558"/>
      <c r="O629" s="558"/>
      <c r="P629" s="558"/>
    </row>
    <row r="630" spans="3:16" x14ac:dyDescent="0.2">
      <c r="C630" s="558"/>
      <c r="D630" s="558"/>
      <c r="E630" s="558"/>
      <c r="F630" s="558"/>
      <c r="G630" s="558"/>
      <c r="H630" s="558"/>
      <c r="I630" s="558"/>
      <c r="J630" s="558"/>
      <c r="K630" s="558"/>
      <c r="L630" s="558"/>
      <c r="M630" s="573"/>
      <c r="N630" s="558"/>
      <c r="O630" s="558"/>
      <c r="P630" s="558"/>
    </row>
    <row r="631" spans="3:16" x14ac:dyDescent="0.2">
      <c r="C631" s="558"/>
      <c r="D631" s="558"/>
      <c r="E631" s="558"/>
      <c r="F631" s="558"/>
      <c r="G631" s="558"/>
      <c r="H631" s="558"/>
      <c r="I631" s="558"/>
      <c r="J631" s="558"/>
      <c r="K631" s="558"/>
      <c r="L631" s="558"/>
      <c r="M631" s="573"/>
      <c r="N631" s="558"/>
      <c r="O631" s="558"/>
      <c r="P631" s="558"/>
    </row>
    <row r="632" spans="3:16" x14ac:dyDescent="0.2">
      <c r="C632" s="558"/>
      <c r="D632" s="558"/>
      <c r="E632" s="558"/>
      <c r="F632" s="558"/>
      <c r="G632" s="558"/>
      <c r="H632" s="558"/>
      <c r="I632" s="558"/>
      <c r="J632" s="558"/>
      <c r="K632" s="558"/>
      <c r="L632" s="558"/>
      <c r="M632" s="573"/>
      <c r="N632" s="558"/>
      <c r="O632" s="558"/>
      <c r="P632" s="558"/>
    </row>
    <row r="633" spans="3:16" x14ac:dyDescent="0.2">
      <c r="C633" s="558"/>
      <c r="D633" s="558"/>
      <c r="E633" s="558"/>
      <c r="F633" s="558"/>
      <c r="G633" s="558"/>
      <c r="H633" s="558"/>
      <c r="I633" s="558"/>
      <c r="J633" s="558"/>
      <c r="K633" s="558"/>
      <c r="L633" s="558"/>
      <c r="M633" s="573"/>
      <c r="N633" s="558"/>
      <c r="O633" s="558"/>
      <c r="P633" s="558"/>
    </row>
    <row r="634" spans="3:16" x14ac:dyDescent="0.2">
      <c r="C634" s="558"/>
      <c r="D634" s="558"/>
      <c r="E634" s="558"/>
      <c r="F634" s="558"/>
      <c r="G634" s="558"/>
      <c r="H634" s="558"/>
      <c r="I634" s="558"/>
      <c r="J634" s="558"/>
      <c r="K634" s="558"/>
      <c r="L634" s="558"/>
      <c r="M634" s="573"/>
      <c r="N634" s="558"/>
      <c r="O634" s="558"/>
      <c r="P634" s="558"/>
    </row>
    <row r="635" spans="3:16" x14ac:dyDescent="0.2">
      <c r="C635" s="558"/>
      <c r="D635" s="558"/>
      <c r="E635" s="558"/>
      <c r="F635" s="558"/>
      <c r="G635" s="558"/>
      <c r="H635" s="558"/>
      <c r="I635" s="558"/>
      <c r="J635" s="558"/>
      <c r="K635" s="558"/>
      <c r="L635" s="558"/>
      <c r="M635" s="573"/>
      <c r="N635" s="558"/>
      <c r="O635" s="558"/>
      <c r="P635" s="558"/>
    </row>
    <row r="636" spans="3:16" x14ac:dyDescent="0.2">
      <c r="C636" s="558"/>
      <c r="D636" s="558"/>
      <c r="E636" s="558"/>
      <c r="F636" s="558"/>
      <c r="G636" s="558"/>
      <c r="H636" s="558"/>
      <c r="I636" s="558"/>
      <c r="J636" s="558"/>
      <c r="K636" s="558"/>
      <c r="L636" s="558"/>
      <c r="M636" s="573"/>
      <c r="N636" s="558"/>
      <c r="O636" s="558"/>
      <c r="P636" s="558"/>
    </row>
    <row r="637" spans="3:16" x14ac:dyDescent="0.2">
      <c r="C637" s="558"/>
      <c r="D637" s="558"/>
      <c r="E637" s="558"/>
      <c r="F637" s="558"/>
      <c r="G637" s="558"/>
      <c r="H637" s="558"/>
      <c r="I637" s="558"/>
      <c r="J637" s="558"/>
      <c r="K637" s="558"/>
      <c r="L637" s="558"/>
      <c r="M637" s="573"/>
      <c r="N637" s="558"/>
      <c r="O637" s="558"/>
      <c r="P637" s="558"/>
    </row>
    <row r="638" spans="3:16" x14ac:dyDescent="0.2">
      <c r="C638" s="558"/>
      <c r="D638" s="558"/>
      <c r="E638" s="558"/>
      <c r="F638" s="558"/>
      <c r="G638" s="558"/>
      <c r="H638" s="558"/>
      <c r="I638" s="558"/>
      <c r="J638" s="558"/>
      <c r="K638" s="558"/>
      <c r="L638" s="558"/>
      <c r="M638" s="573"/>
      <c r="N638" s="558"/>
      <c r="O638" s="558"/>
      <c r="P638" s="558"/>
    </row>
    <row r="639" spans="3:16" x14ac:dyDescent="0.2">
      <c r="C639" s="558"/>
      <c r="D639" s="558"/>
      <c r="E639" s="558"/>
      <c r="F639" s="558"/>
      <c r="G639" s="558"/>
      <c r="H639" s="558"/>
      <c r="I639" s="558"/>
      <c r="J639" s="558"/>
      <c r="K639" s="558"/>
      <c r="L639" s="558"/>
      <c r="M639" s="573"/>
      <c r="N639" s="558"/>
      <c r="O639" s="558"/>
      <c r="P639" s="558"/>
    </row>
    <row r="640" spans="3:16" x14ac:dyDescent="0.2">
      <c r="C640" s="558"/>
      <c r="D640" s="558"/>
      <c r="E640" s="558"/>
      <c r="F640" s="558"/>
      <c r="G640" s="558"/>
      <c r="H640" s="558"/>
      <c r="I640" s="558"/>
      <c r="J640" s="558"/>
      <c r="K640" s="558"/>
      <c r="L640" s="558"/>
      <c r="M640" s="573"/>
      <c r="N640" s="558"/>
      <c r="O640" s="558"/>
      <c r="P640" s="558"/>
    </row>
    <row r="641" spans="3:16" x14ac:dyDescent="0.2">
      <c r="C641" s="558"/>
      <c r="D641" s="558"/>
      <c r="E641" s="558"/>
      <c r="F641" s="558"/>
      <c r="G641" s="558"/>
      <c r="H641" s="558"/>
      <c r="I641" s="558"/>
      <c r="J641" s="558"/>
      <c r="K641" s="558"/>
      <c r="L641" s="558"/>
      <c r="M641" s="573"/>
      <c r="N641" s="558"/>
      <c r="O641" s="558"/>
      <c r="P641" s="558"/>
    </row>
    <row r="642" spans="3:16" x14ac:dyDescent="0.2">
      <c r="C642" s="558"/>
      <c r="D642" s="558"/>
      <c r="E642" s="558"/>
      <c r="F642" s="558"/>
      <c r="G642" s="558"/>
      <c r="H642" s="558"/>
      <c r="I642" s="558"/>
      <c r="J642" s="558"/>
      <c r="K642" s="558"/>
      <c r="L642" s="558"/>
      <c r="M642" s="573"/>
      <c r="N642" s="558"/>
      <c r="O642" s="558"/>
      <c r="P642" s="558"/>
    </row>
    <row r="643" spans="3:16" x14ac:dyDescent="0.2">
      <c r="C643" s="558"/>
      <c r="D643" s="558"/>
      <c r="E643" s="558"/>
      <c r="F643" s="558"/>
      <c r="G643" s="558"/>
      <c r="H643" s="558"/>
      <c r="I643" s="558"/>
      <c r="J643" s="558"/>
      <c r="K643" s="558"/>
      <c r="L643" s="558"/>
      <c r="M643" s="573"/>
      <c r="N643" s="558"/>
      <c r="O643" s="558"/>
      <c r="P643" s="558"/>
    </row>
    <row r="644" spans="3:16" x14ac:dyDescent="0.2">
      <c r="C644" s="558"/>
      <c r="D644" s="558"/>
      <c r="E644" s="558"/>
      <c r="F644" s="558"/>
      <c r="G644" s="558"/>
      <c r="H644" s="558"/>
      <c r="I644" s="558"/>
      <c r="J644" s="558"/>
      <c r="K644" s="558"/>
      <c r="L644" s="558"/>
      <c r="M644" s="573"/>
      <c r="N644" s="558"/>
      <c r="O644" s="558"/>
      <c r="P644" s="558"/>
    </row>
    <row r="645" spans="3:16" x14ac:dyDescent="0.2">
      <c r="C645" s="558"/>
      <c r="D645" s="558"/>
      <c r="E645" s="558"/>
      <c r="F645" s="558"/>
      <c r="G645" s="558"/>
      <c r="H645" s="558"/>
      <c r="I645" s="558"/>
      <c r="J645" s="558"/>
      <c r="K645" s="558"/>
      <c r="L645" s="558"/>
      <c r="M645" s="573"/>
      <c r="N645" s="558"/>
      <c r="O645" s="558"/>
      <c r="P645" s="558"/>
    </row>
    <row r="646" spans="3:16" x14ac:dyDescent="0.2">
      <c r="C646" s="558"/>
      <c r="D646" s="558"/>
      <c r="E646" s="558"/>
      <c r="F646" s="558"/>
      <c r="G646" s="558"/>
      <c r="H646" s="558"/>
      <c r="I646" s="558"/>
      <c r="J646" s="558"/>
      <c r="K646" s="558"/>
      <c r="L646" s="558"/>
      <c r="M646" s="573"/>
      <c r="N646" s="558"/>
      <c r="O646" s="558"/>
      <c r="P646" s="558"/>
    </row>
    <row r="647" spans="3:16" x14ac:dyDescent="0.2">
      <c r="C647" s="558"/>
      <c r="D647" s="558"/>
      <c r="E647" s="558"/>
      <c r="F647" s="558"/>
      <c r="G647" s="558"/>
      <c r="H647" s="558"/>
      <c r="I647" s="558"/>
      <c r="J647" s="558"/>
      <c r="K647" s="558"/>
      <c r="L647" s="558"/>
      <c r="M647" s="573"/>
      <c r="N647" s="558"/>
      <c r="O647" s="558"/>
      <c r="P647" s="558"/>
    </row>
    <row r="648" spans="3:16" x14ac:dyDescent="0.2">
      <c r="C648" s="558"/>
      <c r="D648" s="558"/>
      <c r="E648" s="558"/>
      <c r="F648" s="558"/>
      <c r="G648" s="558"/>
      <c r="H648" s="558"/>
      <c r="I648" s="558"/>
      <c r="J648" s="558"/>
      <c r="K648" s="558"/>
      <c r="L648" s="558"/>
      <c r="M648" s="573"/>
      <c r="N648" s="558"/>
      <c r="O648" s="558"/>
      <c r="P648" s="558"/>
    </row>
    <row r="649" spans="3:16" x14ac:dyDescent="0.2">
      <c r="C649" s="558"/>
      <c r="D649" s="558"/>
      <c r="E649" s="558"/>
      <c r="F649" s="558"/>
      <c r="G649" s="558"/>
      <c r="H649" s="558"/>
      <c r="I649" s="558"/>
      <c r="J649" s="558"/>
      <c r="K649" s="558"/>
      <c r="L649" s="558"/>
      <c r="M649" s="573"/>
      <c r="N649" s="558"/>
      <c r="O649" s="558"/>
      <c r="P649" s="558"/>
    </row>
    <row r="650" spans="3:16" x14ac:dyDescent="0.2">
      <c r="C650" s="558"/>
      <c r="D650" s="558"/>
      <c r="E650" s="558"/>
      <c r="F650" s="558"/>
      <c r="G650" s="558"/>
      <c r="H650" s="558"/>
      <c r="I650" s="558"/>
      <c r="J650" s="558"/>
      <c r="K650" s="558"/>
      <c r="L650" s="558"/>
      <c r="M650" s="573"/>
      <c r="N650" s="558"/>
      <c r="O650" s="558"/>
      <c r="P650" s="558"/>
    </row>
    <row r="651" spans="3:16" x14ac:dyDescent="0.2">
      <c r="C651" s="558"/>
      <c r="D651" s="558"/>
      <c r="E651" s="558"/>
      <c r="F651" s="558"/>
      <c r="G651" s="558"/>
      <c r="H651" s="558"/>
      <c r="I651" s="558"/>
      <c r="J651" s="558"/>
      <c r="K651" s="558"/>
      <c r="L651" s="558"/>
      <c r="M651" s="573"/>
      <c r="N651" s="558"/>
      <c r="O651" s="558"/>
      <c r="P651" s="558"/>
    </row>
    <row r="652" spans="3:16" x14ac:dyDescent="0.2">
      <c r="C652" s="558"/>
      <c r="D652" s="558"/>
      <c r="E652" s="558"/>
      <c r="F652" s="558"/>
      <c r="G652" s="558"/>
      <c r="H652" s="558"/>
      <c r="I652" s="558"/>
      <c r="J652" s="558"/>
      <c r="K652" s="558"/>
      <c r="L652" s="558"/>
      <c r="M652" s="573"/>
      <c r="N652" s="558"/>
      <c r="O652" s="558"/>
      <c r="P652" s="558"/>
    </row>
    <row r="653" spans="3:16" x14ac:dyDescent="0.2">
      <c r="C653" s="558"/>
      <c r="D653" s="558"/>
      <c r="E653" s="558"/>
      <c r="F653" s="558"/>
      <c r="G653" s="558"/>
      <c r="H653" s="558"/>
      <c r="I653" s="558"/>
      <c r="J653" s="558"/>
      <c r="K653" s="558"/>
      <c r="L653" s="558"/>
      <c r="M653" s="573"/>
      <c r="N653" s="558"/>
      <c r="O653" s="558"/>
      <c r="P653" s="558"/>
    </row>
    <row r="654" spans="3:16" x14ac:dyDescent="0.2">
      <c r="C654" s="558"/>
      <c r="D654" s="558"/>
      <c r="E654" s="558"/>
      <c r="F654" s="558"/>
      <c r="G654" s="558"/>
      <c r="H654" s="558"/>
      <c r="I654" s="558"/>
      <c r="J654" s="558"/>
      <c r="K654" s="558"/>
      <c r="L654" s="558"/>
      <c r="M654" s="573"/>
      <c r="N654" s="558"/>
      <c r="O654" s="558"/>
      <c r="P654" s="558"/>
    </row>
    <row r="655" spans="3:16" x14ac:dyDescent="0.2">
      <c r="C655" s="558"/>
      <c r="D655" s="558"/>
      <c r="E655" s="558"/>
      <c r="F655" s="558"/>
      <c r="G655" s="558"/>
      <c r="H655" s="558"/>
      <c r="I655" s="558"/>
      <c r="J655" s="558"/>
      <c r="K655" s="558"/>
      <c r="L655" s="558"/>
      <c r="M655" s="573"/>
      <c r="N655" s="558"/>
      <c r="O655" s="558"/>
      <c r="P655" s="558"/>
    </row>
    <row r="656" spans="3:16" x14ac:dyDescent="0.2">
      <c r="C656" s="558"/>
      <c r="D656" s="558"/>
      <c r="E656" s="558"/>
      <c r="F656" s="558"/>
      <c r="G656" s="558"/>
      <c r="H656" s="558"/>
      <c r="I656" s="558"/>
      <c r="J656" s="558"/>
      <c r="K656" s="558"/>
      <c r="L656" s="558"/>
      <c r="M656" s="573"/>
      <c r="N656" s="558"/>
      <c r="O656" s="558"/>
      <c r="P656" s="558"/>
    </row>
    <row r="657" spans="3:16" x14ac:dyDescent="0.2">
      <c r="C657" s="558"/>
      <c r="D657" s="558"/>
      <c r="E657" s="558"/>
      <c r="F657" s="558"/>
      <c r="G657" s="558"/>
      <c r="H657" s="558"/>
      <c r="I657" s="558"/>
      <c r="J657" s="558"/>
      <c r="K657" s="558"/>
      <c r="L657" s="558"/>
      <c r="M657" s="573"/>
      <c r="N657" s="558"/>
      <c r="O657" s="558"/>
      <c r="P657" s="558"/>
    </row>
    <row r="658" spans="3:16" x14ac:dyDescent="0.2">
      <c r="C658" s="558"/>
      <c r="D658" s="558"/>
      <c r="E658" s="558"/>
      <c r="F658" s="558"/>
      <c r="G658" s="558"/>
      <c r="H658" s="558"/>
      <c r="I658" s="558"/>
      <c r="J658" s="558"/>
      <c r="K658" s="558"/>
      <c r="L658" s="558"/>
      <c r="M658" s="573"/>
      <c r="N658" s="558"/>
      <c r="O658" s="558"/>
      <c r="P658" s="558"/>
    </row>
    <row r="659" spans="3:16" x14ac:dyDescent="0.2">
      <c r="C659" s="558"/>
      <c r="D659" s="558"/>
      <c r="E659" s="558"/>
      <c r="F659" s="558"/>
      <c r="G659" s="558"/>
      <c r="H659" s="558"/>
      <c r="I659" s="558"/>
      <c r="J659" s="558"/>
      <c r="K659" s="558"/>
      <c r="L659" s="558"/>
      <c r="M659" s="573"/>
      <c r="N659" s="558"/>
      <c r="O659" s="558"/>
      <c r="P659" s="558"/>
    </row>
    <row r="660" spans="3:16" x14ac:dyDescent="0.2">
      <c r="C660" s="558"/>
      <c r="D660" s="558"/>
      <c r="E660" s="558"/>
      <c r="F660" s="558"/>
      <c r="G660" s="558"/>
      <c r="H660" s="558"/>
      <c r="I660" s="558"/>
      <c r="J660" s="558"/>
      <c r="K660" s="558"/>
      <c r="L660" s="558"/>
      <c r="M660" s="573"/>
      <c r="N660" s="558"/>
      <c r="O660" s="558"/>
      <c r="P660" s="558"/>
    </row>
    <row r="661" spans="3:16" x14ac:dyDescent="0.2">
      <c r="C661" s="558"/>
      <c r="D661" s="558"/>
      <c r="E661" s="558"/>
      <c r="F661" s="558"/>
      <c r="G661" s="558"/>
      <c r="H661" s="558"/>
      <c r="I661" s="558"/>
      <c r="J661" s="558"/>
      <c r="K661" s="558"/>
      <c r="L661" s="558"/>
      <c r="M661" s="573"/>
      <c r="N661" s="558"/>
      <c r="O661" s="558"/>
      <c r="P661" s="558"/>
    </row>
    <row r="662" spans="3:16" x14ac:dyDescent="0.2">
      <c r="C662" s="558"/>
      <c r="D662" s="558"/>
      <c r="E662" s="558"/>
      <c r="F662" s="558"/>
      <c r="G662" s="558"/>
      <c r="H662" s="558"/>
      <c r="I662" s="558"/>
      <c r="J662" s="558"/>
      <c r="K662" s="558"/>
      <c r="L662" s="558"/>
      <c r="M662" s="573"/>
      <c r="N662" s="558"/>
      <c r="O662" s="558"/>
      <c r="P662" s="558"/>
    </row>
    <row r="663" spans="3:16" x14ac:dyDescent="0.2">
      <c r="C663" s="558"/>
      <c r="D663" s="558"/>
      <c r="E663" s="558"/>
      <c r="F663" s="558"/>
      <c r="G663" s="558"/>
      <c r="H663" s="558"/>
      <c r="I663" s="558"/>
      <c r="J663" s="558"/>
      <c r="K663" s="558"/>
      <c r="L663" s="558"/>
      <c r="M663" s="573"/>
      <c r="N663" s="558"/>
      <c r="O663" s="558"/>
      <c r="P663" s="558"/>
    </row>
    <row r="664" spans="3:16" x14ac:dyDescent="0.2">
      <c r="C664" s="558"/>
      <c r="D664" s="558"/>
      <c r="E664" s="558"/>
      <c r="F664" s="558"/>
      <c r="G664" s="558"/>
      <c r="H664" s="558"/>
      <c r="I664" s="558"/>
      <c r="J664" s="558"/>
      <c r="K664" s="558"/>
      <c r="L664" s="558"/>
      <c r="M664" s="573"/>
      <c r="N664" s="558"/>
      <c r="O664" s="558"/>
      <c r="P664" s="558"/>
    </row>
    <row r="665" spans="3:16" x14ac:dyDescent="0.2">
      <c r="C665" s="558"/>
      <c r="D665" s="558"/>
      <c r="E665" s="558"/>
      <c r="F665" s="558"/>
      <c r="G665" s="558"/>
      <c r="H665" s="558"/>
      <c r="I665" s="558"/>
      <c r="J665" s="558"/>
      <c r="K665" s="558"/>
      <c r="L665" s="558"/>
      <c r="M665" s="573"/>
      <c r="N665" s="558"/>
      <c r="O665" s="558"/>
      <c r="P665" s="558"/>
    </row>
    <row r="666" spans="3:16" x14ac:dyDescent="0.2">
      <c r="C666" s="558"/>
      <c r="D666" s="558"/>
      <c r="E666" s="558"/>
      <c r="F666" s="558"/>
      <c r="G666" s="558"/>
      <c r="H666" s="558"/>
      <c r="I666" s="558"/>
      <c r="J666" s="558"/>
      <c r="K666" s="558"/>
      <c r="L666" s="558"/>
      <c r="M666" s="573"/>
      <c r="N666" s="558"/>
      <c r="O666" s="558"/>
      <c r="P666" s="558"/>
    </row>
    <row r="667" spans="3:16" x14ac:dyDescent="0.2">
      <c r="C667" s="558"/>
      <c r="D667" s="558"/>
      <c r="E667" s="558"/>
      <c r="F667" s="558"/>
      <c r="G667" s="558"/>
      <c r="H667" s="558"/>
      <c r="I667" s="558"/>
      <c r="J667" s="558"/>
      <c r="K667" s="558"/>
      <c r="L667" s="558"/>
      <c r="M667" s="573"/>
      <c r="N667" s="558"/>
      <c r="O667" s="558"/>
      <c r="P667" s="558"/>
    </row>
    <row r="668" spans="3:16" x14ac:dyDescent="0.2">
      <c r="C668" s="558"/>
      <c r="D668" s="558"/>
      <c r="E668" s="558"/>
      <c r="F668" s="558"/>
      <c r="G668" s="558"/>
      <c r="H668" s="558"/>
      <c r="I668" s="558"/>
      <c r="J668" s="558"/>
      <c r="K668" s="558"/>
      <c r="L668" s="558"/>
      <c r="M668" s="573"/>
      <c r="N668" s="558"/>
      <c r="O668" s="558"/>
      <c r="P668" s="558"/>
    </row>
    <row r="669" spans="3:16" x14ac:dyDescent="0.2">
      <c r="C669" s="558"/>
      <c r="D669" s="558"/>
      <c r="E669" s="558"/>
      <c r="F669" s="558"/>
      <c r="G669" s="558"/>
      <c r="H669" s="558"/>
      <c r="I669" s="558"/>
      <c r="J669" s="558"/>
      <c r="K669" s="558"/>
      <c r="L669" s="558"/>
      <c r="M669" s="573"/>
      <c r="N669" s="558"/>
      <c r="O669" s="558"/>
      <c r="P669" s="558"/>
    </row>
    <row r="670" spans="3:16" x14ac:dyDescent="0.2">
      <c r="C670" s="558"/>
      <c r="D670" s="558"/>
      <c r="E670" s="558"/>
      <c r="F670" s="558"/>
      <c r="G670" s="558"/>
      <c r="H670" s="558"/>
      <c r="I670" s="558"/>
      <c r="J670" s="558"/>
      <c r="K670" s="558"/>
      <c r="L670" s="558"/>
      <c r="M670" s="573"/>
      <c r="N670" s="558"/>
      <c r="O670" s="558"/>
      <c r="P670" s="558"/>
    </row>
    <row r="671" spans="3:16" x14ac:dyDescent="0.2">
      <c r="C671" s="558"/>
      <c r="D671" s="558"/>
      <c r="E671" s="558"/>
      <c r="F671" s="558"/>
      <c r="G671" s="558"/>
      <c r="H671" s="558"/>
      <c r="I671" s="558"/>
      <c r="J671" s="558"/>
      <c r="K671" s="558"/>
      <c r="L671" s="558"/>
      <c r="M671" s="573"/>
      <c r="N671" s="558"/>
      <c r="O671" s="558"/>
      <c r="P671" s="558"/>
    </row>
    <row r="672" spans="3:16" x14ac:dyDescent="0.2">
      <c r="C672" s="558"/>
      <c r="D672" s="558"/>
      <c r="E672" s="558"/>
      <c r="F672" s="558"/>
      <c r="G672" s="558"/>
      <c r="H672" s="558"/>
      <c r="I672" s="558"/>
      <c r="J672" s="558"/>
      <c r="K672" s="558"/>
      <c r="L672" s="558"/>
      <c r="M672" s="573"/>
      <c r="N672" s="558"/>
      <c r="O672" s="558"/>
      <c r="P672" s="558"/>
    </row>
    <row r="673" spans="3:16" x14ac:dyDescent="0.2">
      <c r="C673" s="558"/>
      <c r="D673" s="558"/>
      <c r="E673" s="558"/>
      <c r="F673" s="558"/>
      <c r="G673" s="558"/>
      <c r="H673" s="558"/>
      <c r="I673" s="558"/>
      <c r="J673" s="558"/>
      <c r="K673" s="558"/>
      <c r="L673" s="558"/>
      <c r="M673" s="573"/>
      <c r="N673" s="558"/>
      <c r="O673" s="558"/>
      <c r="P673" s="558"/>
    </row>
    <row r="674" spans="3:16" x14ac:dyDescent="0.2">
      <c r="C674" s="558"/>
      <c r="D674" s="558"/>
      <c r="E674" s="558"/>
      <c r="F674" s="558"/>
      <c r="G674" s="558"/>
      <c r="H674" s="558"/>
      <c r="I674" s="558"/>
      <c r="J674" s="558"/>
      <c r="K674" s="558"/>
      <c r="L674" s="558"/>
      <c r="M674" s="573"/>
      <c r="N674" s="558"/>
      <c r="O674" s="558"/>
      <c r="P674" s="558"/>
    </row>
    <row r="675" spans="3:16" x14ac:dyDescent="0.2">
      <c r="C675" s="558"/>
      <c r="D675" s="558"/>
      <c r="E675" s="558"/>
      <c r="F675" s="558"/>
      <c r="G675" s="558"/>
      <c r="H675" s="558"/>
      <c r="I675" s="558"/>
      <c r="J675" s="558"/>
      <c r="K675" s="558"/>
      <c r="L675" s="558"/>
      <c r="M675" s="573"/>
      <c r="N675" s="558"/>
      <c r="O675" s="558"/>
      <c r="P675" s="558"/>
    </row>
    <row r="676" spans="3:16" x14ac:dyDescent="0.2">
      <c r="C676" s="558"/>
      <c r="D676" s="558"/>
      <c r="E676" s="558"/>
      <c r="F676" s="558"/>
      <c r="G676" s="558"/>
      <c r="H676" s="558"/>
      <c r="I676" s="558"/>
      <c r="J676" s="558"/>
      <c r="K676" s="558"/>
      <c r="L676" s="558"/>
      <c r="M676" s="573"/>
      <c r="N676" s="558"/>
      <c r="O676" s="558"/>
      <c r="P676" s="558"/>
    </row>
    <row r="677" spans="3:16" x14ac:dyDescent="0.2">
      <c r="C677" s="558"/>
      <c r="D677" s="558"/>
      <c r="E677" s="558"/>
      <c r="F677" s="558"/>
      <c r="G677" s="558"/>
      <c r="H677" s="558"/>
      <c r="I677" s="558"/>
      <c r="J677" s="558"/>
      <c r="K677" s="558"/>
      <c r="L677" s="558"/>
      <c r="M677" s="573"/>
      <c r="N677" s="558"/>
      <c r="O677" s="558"/>
      <c r="P677" s="558"/>
    </row>
    <row r="678" spans="3:16" x14ac:dyDescent="0.2">
      <c r="C678" s="558"/>
      <c r="D678" s="558"/>
      <c r="E678" s="558"/>
      <c r="F678" s="558"/>
      <c r="G678" s="558"/>
      <c r="H678" s="558"/>
      <c r="I678" s="558"/>
      <c r="J678" s="558"/>
      <c r="K678" s="558"/>
      <c r="L678" s="558"/>
      <c r="M678" s="573"/>
      <c r="N678" s="558"/>
      <c r="O678" s="558"/>
      <c r="P678" s="558"/>
    </row>
    <row r="679" spans="3:16" x14ac:dyDescent="0.2">
      <c r="C679" s="558"/>
      <c r="D679" s="558"/>
      <c r="E679" s="558"/>
      <c r="F679" s="558"/>
      <c r="G679" s="558"/>
      <c r="H679" s="558"/>
      <c r="I679" s="558"/>
      <c r="J679" s="558"/>
      <c r="K679" s="558"/>
      <c r="L679" s="558"/>
      <c r="M679" s="573"/>
      <c r="N679" s="558"/>
      <c r="O679" s="558"/>
      <c r="P679" s="558"/>
    </row>
    <row r="680" spans="3:16" x14ac:dyDescent="0.2">
      <c r="C680" s="558"/>
      <c r="D680" s="558"/>
      <c r="E680" s="558"/>
      <c r="F680" s="558"/>
      <c r="G680" s="558"/>
      <c r="H680" s="558"/>
      <c r="I680" s="558"/>
      <c r="J680" s="558"/>
      <c r="K680" s="558"/>
      <c r="L680" s="558"/>
      <c r="M680" s="573"/>
      <c r="N680" s="558"/>
      <c r="O680" s="558"/>
      <c r="P680" s="558"/>
    </row>
    <row r="681" spans="3:16" x14ac:dyDescent="0.2">
      <c r="C681" s="558"/>
      <c r="D681" s="558"/>
      <c r="E681" s="558"/>
      <c r="F681" s="558"/>
      <c r="G681" s="558"/>
      <c r="H681" s="558"/>
      <c r="I681" s="558"/>
      <c r="J681" s="558"/>
      <c r="K681" s="558"/>
      <c r="L681" s="558"/>
      <c r="M681" s="573"/>
      <c r="N681" s="558"/>
      <c r="O681" s="558"/>
      <c r="P681" s="558"/>
    </row>
    <row r="682" spans="3:16" x14ac:dyDescent="0.2">
      <c r="C682" s="558"/>
      <c r="D682" s="558"/>
      <c r="E682" s="558"/>
      <c r="F682" s="558"/>
      <c r="G682" s="558"/>
      <c r="H682" s="558"/>
      <c r="I682" s="558"/>
      <c r="J682" s="558"/>
      <c r="K682" s="558"/>
      <c r="L682" s="558"/>
      <c r="M682" s="573"/>
      <c r="N682" s="558"/>
      <c r="O682" s="558"/>
      <c r="P682" s="558"/>
    </row>
    <row r="683" spans="3:16" x14ac:dyDescent="0.2">
      <c r="C683" s="558"/>
      <c r="D683" s="558"/>
      <c r="E683" s="558"/>
      <c r="F683" s="558"/>
      <c r="G683" s="558"/>
      <c r="H683" s="558"/>
      <c r="I683" s="558"/>
      <c r="J683" s="558"/>
      <c r="K683" s="558"/>
      <c r="L683" s="558"/>
      <c r="M683" s="573"/>
      <c r="N683" s="558"/>
      <c r="O683" s="558"/>
      <c r="P683" s="558"/>
    </row>
    <row r="684" spans="3:16" x14ac:dyDescent="0.2">
      <c r="C684" s="558"/>
      <c r="D684" s="558"/>
      <c r="E684" s="558"/>
      <c r="F684" s="558"/>
      <c r="G684" s="558"/>
      <c r="H684" s="558"/>
      <c r="I684" s="558"/>
      <c r="J684" s="558"/>
      <c r="K684" s="558"/>
      <c r="L684" s="558"/>
      <c r="M684" s="573"/>
      <c r="N684" s="558"/>
      <c r="O684" s="558"/>
      <c r="P684" s="558"/>
    </row>
    <row r="685" spans="3:16" x14ac:dyDescent="0.2">
      <c r="C685" s="558"/>
      <c r="D685" s="558"/>
      <c r="E685" s="558"/>
      <c r="F685" s="558"/>
      <c r="G685" s="558"/>
      <c r="H685" s="558"/>
      <c r="I685" s="558"/>
      <c r="J685" s="558"/>
      <c r="K685" s="558"/>
      <c r="L685" s="558"/>
      <c r="M685" s="573"/>
      <c r="N685" s="558"/>
      <c r="O685" s="558"/>
      <c r="P685" s="558"/>
    </row>
    <row r="686" spans="3:16" x14ac:dyDescent="0.2">
      <c r="C686" s="558"/>
      <c r="D686" s="558"/>
      <c r="E686" s="558"/>
      <c r="F686" s="558"/>
      <c r="G686" s="558"/>
      <c r="H686" s="558"/>
      <c r="I686" s="558"/>
      <c r="J686" s="558"/>
      <c r="K686" s="558"/>
      <c r="L686" s="558"/>
      <c r="M686" s="573"/>
      <c r="N686" s="558"/>
      <c r="O686" s="558"/>
      <c r="P686" s="558"/>
    </row>
    <row r="687" spans="3:16" x14ac:dyDescent="0.2">
      <c r="C687" s="558"/>
      <c r="D687" s="558"/>
      <c r="E687" s="558"/>
      <c r="F687" s="558"/>
      <c r="G687" s="558"/>
      <c r="H687" s="558"/>
      <c r="I687" s="558"/>
      <c r="J687" s="558"/>
      <c r="K687" s="558"/>
      <c r="L687" s="558"/>
      <c r="M687" s="573"/>
      <c r="N687" s="558"/>
      <c r="O687" s="558"/>
      <c r="P687" s="558"/>
    </row>
    <row r="688" spans="3:16" x14ac:dyDescent="0.2">
      <c r="C688" s="558"/>
      <c r="D688" s="558"/>
      <c r="E688" s="558"/>
      <c r="F688" s="558"/>
      <c r="G688" s="558"/>
      <c r="H688" s="558"/>
      <c r="I688" s="558"/>
      <c r="J688" s="558"/>
      <c r="K688" s="558"/>
      <c r="L688" s="558"/>
      <c r="M688" s="573"/>
      <c r="N688" s="558"/>
      <c r="O688" s="558"/>
      <c r="P688" s="558"/>
    </row>
    <row r="689" spans="3:16" x14ac:dyDescent="0.2">
      <c r="C689" s="558"/>
      <c r="D689" s="558"/>
      <c r="E689" s="558"/>
      <c r="F689" s="558"/>
      <c r="G689" s="558"/>
      <c r="H689" s="558"/>
      <c r="I689" s="558"/>
      <c r="J689" s="558"/>
      <c r="K689" s="558"/>
      <c r="L689" s="558"/>
      <c r="M689" s="573"/>
      <c r="N689" s="558"/>
      <c r="O689" s="558"/>
      <c r="P689" s="558"/>
    </row>
    <row r="690" spans="3:16" x14ac:dyDescent="0.2">
      <c r="C690" s="558"/>
      <c r="D690" s="558"/>
      <c r="E690" s="558"/>
      <c r="F690" s="558"/>
      <c r="G690" s="558"/>
      <c r="H690" s="558"/>
      <c r="I690" s="558"/>
      <c r="J690" s="558"/>
      <c r="K690" s="558"/>
      <c r="L690" s="558"/>
      <c r="M690" s="573"/>
      <c r="N690" s="558"/>
      <c r="O690" s="558"/>
      <c r="P690" s="558"/>
    </row>
    <row r="691" spans="3:16" x14ac:dyDescent="0.2">
      <c r="C691" s="558"/>
      <c r="D691" s="558"/>
      <c r="E691" s="558"/>
      <c r="F691" s="558"/>
      <c r="G691" s="558"/>
      <c r="H691" s="558"/>
      <c r="I691" s="558"/>
      <c r="J691" s="558"/>
      <c r="K691" s="558"/>
      <c r="L691" s="558"/>
      <c r="M691" s="573"/>
      <c r="N691" s="558"/>
      <c r="O691" s="558"/>
      <c r="P691" s="558"/>
    </row>
    <row r="692" spans="3:16" x14ac:dyDescent="0.2">
      <c r="C692" s="558"/>
      <c r="D692" s="558"/>
      <c r="E692" s="558"/>
      <c r="F692" s="558"/>
      <c r="G692" s="558"/>
      <c r="H692" s="558"/>
      <c r="I692" s="558"/>
      <c r="J692" s="558"/>
      <c r="K692" s="558"/>
      <c r="L692" s="558"/>
      <c r="M692" s="573"/>
      <c r="N692" s="558"/>
      <c r="O692" s="558"/>
      <c r="P692" s="558"/>
    </row>
    <row r="693" spans="3:16" x14ac:dyDescent="0.2">
      <c r="C693" s="558"/>
      <c r="D693" s="558"/>
      <c r="E693" s="558"/>
      <c r="F693" s="558"/>
      <c r="G693" s="558"/>
      <c r="H693" s="558"/>
      <c r="I693" s="558"/>
      <c r="J693" s="558"/>
      <c r="K693" s="558"/>
      <c r="L693" s="558"/>
      <c r="M693" s="573"/>
      <c r="N693" s="558"/>
      <c r="O693" s="558"/>
      <c r="P693" s="558"/>
    </row>
    <row r="694" spans="3:16" x14ac:dyDescent="0.2">
      <c r="C694" s="558"/>
      <c r="D694" s="558"/>
      <c r="E694" s="558"/>
      <c r="F694" s="558"/>
      <c r="G694" s="558"/>
      <c r="H694" s="558"/>
      <c r="I694" s="558"/>
      <c r="J694" s="558"/>
      <c r="K694" s="558"/>
      <c r="L694" s="558"/>
      <c r="M694" s="573"/>
      <c r="N694" s="558"/>
      <c r="O694" s="558"/>
      <c r="P694" s="558"/>
    </row>
    <row r="695" spans="3:16" x14ac:dyDescent="0.2">
      <c r="C695" s="558"/>
      <c r="D695" s="558"/>
      <c r="E695" s="558"/>
      <c r="F695" s="558"/>
      <c r="G695" s="558"/>
      <c r="H695" s="558"/>
      <c r="I695" s="558"/>
      <c r="J695" s="558"/>
      <c r="K695" s="558"/>
      <c r="L695" s="558"/>
      <c r="M695" s="573"/>
      <c r="N695" s="558"/>
      <c r="O695" s="558"/>
      <c r="P695" s="558"/>
    </row>
    <row r="696" spans="3:16" x14ac:dyDescent="0.2">
      <c r="C696" s="558"/>
      <c r="D696" s="558"/>
      <c r="E696" s="558"/>
      <c r="F696" s="558"/>
      <c r="G696" s="558"/>
      <c r="H696" s="558"/>
      <c r="I696" s="558"/>
      <c r="J696" s="558"/>
      <c r="K696" s="558"/>
      <c r="L696" s="558"/>
      <c r="M696" s="573"/>
      <c r="N696" s="558"/>
      <c r="O696" s="558"/>
      <c r="P696" s="558"/>
    </row>
    <row r="697" spans="3:16" x14ac:dyDescent="0.2">
      <c r="C697" s="558"/>
      <c r="D697" s="558"/>
      <c r="E697" s="558"/>
      <c r="F697" s="558"/>
      <c r="G697" s="558"/>
      <c r="H697" s="558"/>
      <c r="I697" s="558"/>
      <c r="J697" s="558"/>
      <c r="K697" s="558"/>
      <c r="L697" s="558"/>
      <c r="M697" s="573"/>
      <c r="N697" s="558"/>
      <c r="O697" s="558"/>
      <c r="P697" s="558"/>
    </row>
    <row r="698" spans="3:16" x14ac:dyDescent="0.2">
      <c r="C698" s="558"/>
      <c r="D698" s="558"/>
      <c r="E698" s="558"/>
      <c r="F698" s="558"/>
      <c r="G698" s="558"/>
      <c r="H698" s="558"/>
      <c r="I698" s="558"/>
      <c r="J698" s="558"/>
      <c r="K698" s="558"/>
      <c r="L698" s="558"/>
      <c r="M698" s="573"/>
      <c r="N698" s="558"/>
      <c r="O698" s="558"/>
      <c r="P698" s="558"/>
    </row>
    <row r="699" spans="3:16" x14ac:dyDescent="0.2">
      <c r="C699" s="558"/>
      <c r="D699" s="558"/>
      <c r="E699" s="558"/>
      <c r="F699" s="558"/>
      <c r="G699" s="558"/>
      <c r="H699" s="558"/>
      <c r="I699" s="558"/>
      <c r="J699" s="558"/>
      <c r="K699" s="558"/>
      <c r="L699" s="558"/>
      <c r="M699" s="573"/>
      <c r="N699" s="558"/>
      <c r="O699" s="558"/>
      <c r="P699" s="558"/>
    </row>
    <row r="700" spans="3:16" x14ac:dyDescent="0.2">
      <c r="C700" s="558"/>
      <c r="D700" s="558"/>
      <c r="E700" s="558"/>
      <c r="F700" s="558"/>
      <c r="G700" s="558"/>
      <c r="H700" s="558"/>
      <c r="I700" s="558"/>
      <c r="J700" s="558"/>
      <c r="K700" s="558"/>
      <c r="L700" s="558"/>
      <c r="M700" s="573"/>
      <c r="N700" s="558"/>
      <c r="O700" s="558"/>
      <c r="P700" s="558"/>
    </row>
    <row r="701" spans="3:16" x14ac:dyDescent="0.2">
      <c r="C701" s="558"/>
      <c r="D701" s="558"/>
      <c r="E701" s="558"/>
      <c r="F701" s="558"/>
      <c r="G701" s="558"/>
      <c r="H701" s="558"/>
      <c r="I701" s="558"/>
      <c r="J701" s="558"/>
      <c r="K701" s="558"/>
      <c r="L701" s="558"/>
      <c r="M701" s="573"/>
      <c r="N701" s="558"/>
      <c r="O701" s="558"/>
      <c r="P701" s="558"/>
    </row>
    <row r="702" spans="3:16" x14ac:dyDescent="0.2">
      <c r="C702" s="558"/>
      <c r="D702" s="558"/>
      <c r="E702" s="558"/>
      <c r="F702" s="558"/>
      <c r="G702" s="558"/>
      <c r="H702" s="558"/>
      <c r="I702" s="558"/>
      <c r="J702" s="558"/>
      <c r="K702" s="558"/>
      <c r="L702" s="558"/>
      <c r="M702" s="573"/>
      <c r="N702" s="558"/>
      <c r="O702" s="558"/>
      <c r="P702" s="558"/>
    </row>
    <row r="703" spans="3:16" x14ac:dyDescent="0.2">
      <c r="C703" s="558"/>
      <c r="D703" s="558"/>
      <c r="E703" s="558"/>
      <c r="F703" s="558"/>
      <c r="G703" s="558"/>
      <c r="H703" s="558"/>
      <c r="I703" s="558"/>
      <c r="J703" s="558"/>
      <c r="K703" s="558"/>
      <c r="L703" s="558"/>
      <c r="M703" s="573"/>
      <c r="N703" s="558"/>
      <c r="O703" s="558"/>
      <c r="P703" s="558"/>
    </row>
    <row r="704" spans="3:16" x14ac:dyDescent="0.2">
      <c r="C704" s="558"/>
      <c r="D704" s="558"/>
      <c r="E704" s="558"/>
      <c r="F704" s="558"/>
      <c r="G704" s="558"/>
      <c r="H704" s="558"/>
      <c r="I704" s="558"/>
      <c r="J704" s="558"/>
      <c r="K704" s="558"/>
      <c r="L704" s="558"/>
      <c r="M704" s="573"/>
      <c r="N704" s="558"/>
      <c r="O704" s="558"/>
      <c r="P704" s="558"/>
    </row>
    <row r="705" spans="3:16" x14ac:dyDescent="0.2">
      <c r="C705" s="558"/>
      <c r="D705" s="558"/>
      <c r="E705" s="558"/>
      <c r="F705" s="558"/>
      <c r="G705" s="558"/>
      <c r="H705" s="558"/>
      <c r="I705" s="558"/>
      <c r="J705" s="558"/>
      <c r="K705" s="558"/>
      <c r="L705" s="558"/>
      <c r="M705" s="573"/>
      <c r="N705" s="558"/>
      <c r="O705" s="558"/>
      <c r="P705" s="558"/>
    </row>
    <row r="706" spans="3:16" x14ac:dyDescent="0.2">
      <c r="C706" s="558"/>
      <c r="D706" s="558"/>
      <c r="E706" s="558"/>
      <c r="F706" s="558"/>
      <c r="G706" s="558"/>
      <c r="H706" s="558"/>
      <c r="I706" s="558"/>
      <c r="J706" s="558"/>
      <c r="K706" s="558"/>
      <c r="L706" s="558"/>
      <c r="M706" s="573"/>
      <c r="N706" s="558"/>
      <c r="O706" s="558"/>
      <c r="P706" s="558"/>
    </row>
    <row r="707" spans="3:16" x14ac:dyDescent="0.2">
      <c r="C707" s="558"/>
      <c r="D707" s="558"/>
      <c r="E707" s="558"/>
      <c r="F707" s="558"/>
      <c r="G707" s="558"/>
      <c r="H707" s="558"/>
      <c r="I707" s="558"/>
      <c r="J707" s="558"/>
      <c r="K707" s="558"/>
      <c r="L707" s="558"/>
      <c r="M707" s="573"/>
      <c r="N707" s="558"/>
      <c r="O707" s="558"/>
      <c r="P707" s="558"/>
    </row>
    <row r="708" spans="3:16" x14ac:dyDescent="0.2">
      <c r="C708" s="558"/>
      <c r="D708" s="558"/>
      <c r="E708" s="558"/>
      <c r="F708" s="558"/>
      <c r="G708" s="558"/>
      <c r="H708" s="558"/>
      <c r="I708" s="558"/>
      <c r="J708" s="558"/>
      <c r="K708" s="558"/>
      <c r="L708" s="558"/>
      <c r="M708" s="573"/>
      <c r="N708" s="558"/>
      <c r="O708" s="558"/>
      <c r="P708" s="558"/>
    </row>
    <row r="709" spans="3:16" x14ac:dyDescent="0.2">
      <c r="C709" s="558"/>
      <c r="D709" s="558"/>
      <c r="E709" s="558"/>
      <c r="F709" s="558"/>
      <c r="G709" s="558"/>
      <c r="H709" s="558"/>
      <c r="I709" s="558"/>
      <c r="J709" s="558"/>
      <c r="K709" s="558"/>
      <c r="L709" s="558"/>
      <c r="M709" s="573"/>
      <c r="N709" s="558"/>
      <c r="O709" s="558"/>
      <c r="P709" s="558"/>
    </row>
    <row r="710" spans="3:16" x14ac:dyDescent="0.2">
      <c r="C710" s="558"/>
      <c r="D710" s="558"/>
      <c r="E710" s="558"/>
      <c r="F710" s="558"/>
      <c r="G710" s="558"/>
      <c r="H710" s="558"/>
      <c r="I710" s="558"/>
      <c r="J710" s="558"/>
      <c r="K710" s="558"/>
      <c r="L710" s="558"/>
      <c r="M710" s="573"/>
      <c r="N710" s="558"/>
      <c r="O710" s="558"/>
      <c r="P710" s="558"/>
    </row>
    <row r="711" spans="3:16" x14ac:dyDescent="0.2">
      <c r="C711" s="558"/>
      <c r="D711" s="558"/>
      <c r="E711" s="558"/>
      <c r="F711" s="558"/>
      <c r="G711" s="558"/>
      <c r="H711" s="558"/>
      <c r="I711" s="558"/>
      <c r="J711" s="558"/>
      <c r="K711" s="558"/>
      <c r="L711" s="558"/>
      <c r="M711" s="573"/>
      <c r="N711" s="558"/>
      <c r="O711" s="558"/>
      <c r="P711" s="558"/>
    </row>
    <row r="712" spans="3:16" x14ac:dyDescent="0.2">
      <c r="C712" s="558"/>
      <c r="D712" s="558"/>
      <c r="E712" s="558"/>
      <c r="F712" s="558"/>
      <c r="G712" s="558"/>
      <c r="H712" s="558"/>
      <c r="I712" s="558"/>
      <c r="J712" s="558"/>
      <c r="K712" s="558"/>
      <c r="L712" s="558"/>
      <c r="M712" s="573"/>
      <c r="N712" s="558"/>
      <c r="O712" s="558"/>
      <c r="P712" s="558"/>
    </row>
    <row r="713" spans="3:16" x14ac:dyDescent="0.2">
      <c r="C713" s="558"/>
      <c r="D713" s="558"/>
      <c r="E713" s="558"/>
      <c r="F713" s="558"/>
      <c r="G713" s="558"/>
      <c r="H713" s="558"/>
      <c r="I713" s="558"/>
      <c r="J713" s="558"/>
      <c r="K713" s="558"/>
      <c r="L713" s="558"/>
      <c r="M713" s="573"/>
      <c r="N713" s="558"/>
      <c r="O713" s="558"/>
      <c r="P713" s="558"/>
    </row>
    <row r="714" spans="3:16" x14ac:dyDescent="0.2">
      <c r="C714" s="558"/>
      <c r="D714" s="558"/>
      <c r="E714" s="558"/>
      <c r="F714" s="558"/>
      <c r="G714" s="558"/>
      <c r="H714" s="558"/>
      <c r="I714" s="558"/>
      <c r="J714" s="558"/>
      <c r="K714" s="558"/>
      <c r="L714" s="558"/>
      <c r="M714" s="573"/>
      <c r="N714" s="558"/>
      <c r="O714" s="558"/>
      <c r="P714" s="558"/>
    </row>
    <row r="715" spans="3:16" x14ac:dyDescent="0.2">
      <c r="C715" s="558"/>
      <c r="D715" s="558"/>
      <c r="E715" s="558"/>
      <c r="F715" s="558"/>
      <c r="G715" s="558"/>
      <c r="H715" s="558"/>
      <c r="I715" s="558"/>
      <c r="J715" s="558"/>
      <c r="K715" s="558"/>
      <c r="L715" s="558"/>
      <c r="M715" s="573"/>
      <c r="N715" s="558"/>
      <c r="O715" s="558"/>
      <c r="P715" s="558"/>
    </row>
    <row r="716" spans="3:16" x14ac:dyDescent="0.2">
      <c r="C716" s="558"/>
      <c r="D716" s="558"/>
      <c r="E716" s="558"/>
      <c r="F716" s="558"/>
      <c r="G716" s="558"/>
      <c r="H716" s="558"/>
      <c r="I716" s="558"/>
      <c r="J716" s="558"/>
      <c r="K716" s="558"/>
      <c r="L716" s="558"/>
      <c r="M716" s="573"/>
      <c r="N716" s="558"/>
      <c r="O716" s="558"/>
      <c r="P716" s="558"/>
    </row>
    <row r="717" spans="3:16" x14ac:dyDescent="0.2">
      <c r="C717" s="558"/>
      <c r="D717" s="558"/>
      <c r="E717" s="558"/>
      <c r="F717" s="558"/>
      <c r="G717" s="558"/>
      <c r="H717" s="558"/>
      <c r="I717" s="558"/>
      <c r="J717" s="558"/>
      <c r="K717" s="558"/>
      <c r="L717" s="558"/>
      <c r="M717" s="573"/>
      <c r="N717" s="558"/>
      <c r="O717" s="558"/>
      <c r="P717" s="558"/>
    </row>
    <row r="718" spans="3:16" x14ac:dyDescent="0.2">
      <c r="C718" s="558"/>
      <c r="D718" s="558"/>
      <c r="E718" s="558"/>
      <c r="F718" s="558"/>
      <c r="G718" s="558"/>
      <c r="H718" s="558"/>
      <c r="I718" s="558"/>
      <c r="J718" s="558"/>
      <c r="K718" s="558"/>
      <c r="L718" s="558"/>
      <c r="M718" s="573"/>
      <c r="N718" s="558"/>
      <c r="O718" s="558"/>
      <c r="P718" s="558"/>
    </row>
    <row r="719" spans="3:16" x14ac:dyDescent="0.2">
      <c r="C719" s="558"/>
      <c r="D719" s="558"/>
      <c r="E719" s="558"/>
      <c r="F719" s="558"/>
      <c r="G719" s="558"/>
      <c r="H719" s="558"/>
      <c r="I719" s="558"/>
      <c r="J719" s="558"/>
      <c r="K719" s="558"/>
      <c r="L719" s="558"/>
      <c r="M719" s="573"/>
      <c r="N719" s="558"/>
      <c r="O719" s="558"/>
      <c r="P719" s="558"/>
    </row>
    <row r="720" spans="3:16" x14ac:dyDescent="0.2">
      <c r="C720" s="558"/>
      <c r="D720" s="558"/>
      <c r="E720" s="558"/>
      <c r="F720" s="558"/>
      <c r="G720" s="558"/>
      <c r="H720" s="558"/>
      <c r="I720" s="558"/>
      <c r="J720" s="558"/>
      <c r="K720" s="558"/>
      <c r="L720" s="558"/>
      <c r="M720" s="573"/>
      <c r="N720" s="558"/>
      <c r="O720" s="558"/>
      <c r="P720" s="558"/>
    </row>
    <row r="721" spans="3:16" x14ac:dyDescent="0.2">
      <c r="C721" s="558"/>
      <c r="D721" s="558"/>
      <c r="E721" s="558"/>
      <c r="F721" s="558"/>
      <c r="G721" s="558"/>
      <c r="H721" s="558"/>
      <c r="I721" s="558"/>
      <c r="J721" s="558"/>
      <c r="K721" s="558"/>
      <c r="L721" s="558"/>
      <c r="M721" s="573"/>
      <c r="N721" s="558"/>
      <c r="O721" s="558"/>
      <c r="P721" s="558"/>
    </row>
    <row r="722" spans="3:16" x14ac:dyDescent="0.2">
      <c r="C722" s="558"/>
      <c r="D722" s="558"/>
      <c r="E722" s="558"/>
      <c r="F722" s="558"/>
      <c r="G722" s="558"/>
      <c r="H722" s="558"/>
      <c r="I722" s="558"/>
      <c r="J722" s="558"/>
      <c r="K722" s="558"/>
      <c r="L722" s="558"/>
      <c r="M722" s="573"/>
      <c r="N722" s="558"/>
      <c r="O722" s="558"/>
      <c r="P722" s="558"/>
    </row>
    <row r="723" spans="3:16" x14ac:dyDescent="0.2">
      <c r="C723" s="558"/>
      <c r="D723" s="558"/>
      <c r="E723" s="558"/>
      <c r="F723" s="558"/>
      <c r="G723" s="558"/>
      <c r="H723" s="558"/>
      <c r="I723" s="558"/>
      <c r="J723" s="558"/>
      <c r="K723" s="558"/>
      <c r="L723" s="558"/>
      <c r="M723" s="573"/>
      <c r="N723" s="558"/>
      <c r="O723" s="558"/>
      <c r="P723" s="558"/>
    </row>
    <row r="724" spans="3:16" x14ac:dyDescent="0.2">
      <c r="C724" s="558"/>
      <c r="D724" s="558"/>
      <c r="E724" s="558"/>
      <c r="F724" s="558"/>
      <c r="G724" s="558"/>
      <c r="H724" s="558"/>
      <c r="I724" s="558"/>
      <c r="J724" s="558"/>
      <c r="K724" s="558"/>
      <c r="L724" s="558"/>
      <c r="M724" s="573"/>
      <c r="N724" s="558"/>
      <c r="O724" s="558"/>
      <c r="P724" s="558"/>
    </row>
    <row r="725" spans="3:16" x14ac:dyDescent="0.2">
      <c r="C725" s="558"/>
      <c r="D725" s="558"/>
      <c r="E725" s="558"/>
      <c r="F725" s="558"/>
      <c r="G725" s="558"/>
      <c r="H725" s="558"/>
      <c r="I725" s="558"/>
      <c r="J725" s="558"/>
      <c r="K725" s="558"/>
      <c r="L725" s="558"/>
      <c r="M725" s="573"/>
      <c r="N725" s="558"/>
      <c r="O725" s="558"/>
      <c r="P725" s="558"/>
    </row>
    <row r="726" spans="3:16" x14ac:dyDescent="0.2">
      <c r="C726" s="558"/>
      <c r="D726" s="558"/>
      <c r="E726" s="558"/>
      <c r="F726" s="558"/>
      <c r="G726" s="558"/>
      <c r="H726" s="558"/>
      <c r="I726" s="558"/>
      <c r="J726" s="558"/>
      <c r="K726" s="558"/>
      <c r="L726" s="558"/>
      <c r="M726" s="573"/>
      <c r="N726" s="558"/>
      <c r="O726" s="558"/>
      <c r="P726" s="558"/>
    </row>
    <row r="727" spans="3:16" x14ac:dyDescent="0.2">
      <c r="C727" s="558"/>
      <c r="D727" s="558"/>
      <c r="E727" s="558"/>
      <c r="F727" s="558"/>
      <c r="G727" s="558"/>
      <c r="H727" s="558"/>
      <c r="I727" s="558"/>
      <c r="J727" s="558"/>
      <c r="K727" s="558"/>
      <c r="L727" s="558"/>
      <c r="M727" s="573"/>
      <c r="N727" s="558"/>
      <c r="O727" s="558"/>
      <c r="P727" s="558"/>
    </row>
    <row r="728" spans="3:16" x14ac:dyDescent="0.2">
      <c r="C728" s="558"/>
      <c r="D728" s="558"/>
      <c r="E728" s="558"/>
      <c r="F728" s="558"/>
      <c r="G728" s="558"/>
      <c r="H728" s="558"/>
      <c r="I728" s="558"/>
      <c r="J728" s="558"/>
      <c r="K728" s="558"/>
      <c r="L728" s="558"/>
      <c r="M728" s="573"/>
      <c r="N728" s="558"/>
      <c r="O728" s="558"/>
      <c r="P728" s="558"/>
    </row>
    <row r="729" spans="3:16" x14ac:dyDescent="0.2">
      <c r="C729" s="558"/>
      <c r="D729" s="558"/>
      <c r="E729" s="558"/>
      <c r="F729" s="558"/>
      <c r="G729" s="558"/>
      <c r="H729" s="558"/>
      <c r="I729" s="558"/>
      <c r="J729" s="558"/>
      <c r="K729" s="558"/>
      <c r="L729" s="558"/>
      <c r="M729" s="573"/>
      <c r="N729" s="558"/>
      <c r="O729" s="558"/>
      <c r="P729" s="558"/>
    </row>
    <row r="730" spans="3:16" x14ac:dyDescent="0.2">
      <c r="C730" s="558"/>
      <c r="D730" s="558"/>
      <c r="E730" s="558"/>
      <c r="F730" s="558"/>
      <c r="G730" s="558"/>
      <c r="H730" s="558"/>
      <c r="I730" s="558"/>
      <c r="J730" s="558"/>
      <c r="K730" s="558"/>
      <c r="L730" s="558"/>
      <c r="M730" s="573"/>
      <c r="N730" s="558"/>
      <c r="O730" s="558"/>
      <c r="P730" s="558"/>
    </row>
    <row r="731" spans="3:16" x14ac:dyDescent="0.2">
      <c r="C731" s="558"/>
      <c r="D731" s="558"/>
      <c r="E731" s="558"/>
      <c r="F731" s="558"/>
      <c r="G731" s="558"/>
      <c r="H731" s="558"/>
      <c r="I731" s="558"/>
      <c r="J731" s="558"/>
      <c r="K731" s="558"/>
      <c r="L731" s="558"/>
      <c r="M731" s="573"/>
      <c r="N731" s="558"/>
      <c r="O731" s="558"/>
      <c r="P731" s="558"/>
    </row>
    <row r="732" spans="3:16" x14ac:dyDescent="0.2">
      <c r="C732" s="558"/>
      <c r="D732" s="558"/>
      <c r="E732" s="558"/>
      <c r="F732" s="558"/>
      <c r="G732" s="558"/>
      <c r="H732" s="558"/>
      <c r="I732" s="558"/>
      <c r="J732" s="558"/>
      <c r="K732" s="558"/>
      <c r="L732" s="558"/>
      <c r="M732" s="573"/>
      <c r="N732" s="558"/>
      <c r="O732" s="558"/>
      <c r="P732" s="558"/>
    </row>
    <row r="733" spans="3:16" x14ac:dyDescent="0.2">
      <c r="C733" s="558"/>
      <c r="D733" s="558"/>
      <c r="E733" s="558"/>
      <c r="F733" s="558"/>
      <c r="G733" s="558"/>
      <c r="H733" s="558"/>
      <c r="I733" s="558"/>
      <c r="J733" s="558"/>
      <c r="K733" s="558"/>
      <c r="L733" s="558"/>
      <c r="M733" s="573"/>
      <c r="N733" s="558"/>
      <c r="O733" s="558"/>
      <c r="P733" s="558"/>
    </row>
    <row r="734" spans="3:16" x14ac:dyDescent="0.2">
      <c r="C734" s="558"/>
      <c r="D734" s="558"/>
      <c r="E734" s="558"/>
      <c r="F734" s="558"/>
      <c r="G734" s="558"/>
      <c r="H734" s="558"/>
      <c r="I734" s="558"/>
      <c r="J734" s="558"/>
      <c r="K734" s="558"/>
      <c r="L734" s="558"/>
      <c r="M734" s="573"/>
      <c r="N734" s="558"/>
      <c r="O734" s="558"/>
      <c r="P734" s="558"/>
    </row>
    <row r="735" spans="3:16" x14ac:dyDescent="0.2">
      <c r="C735" s="558"/>
      <c r="D735" s="558"/>
      <c r="E735" s="558"/>
      <c r="F735" s="558"/>
      <c r="G735" s="558"/>
      <c r="H735" s="558"/>
      <c r="I735" s="558"/>
      <c r="J735" s="558"/>
      <c r="K735" s="558"/>
      <c r="L735" s="558"/>
      <c r="M735" s="573"/>
      <c r="N735" s="558"/>
      <c r="O735" s="558"/>
      <c r="P735" s="558"/>
    </row>
    <row r="736" spans="3:16" x14ac:dyDescent="0.2">
      <c r="C736" s="558"/>
      <c r="D736" s="558"/>
      <c r="E736" s="558"/>
      <c r="F736" s="558"/>
      <c r="G736" s="558"/>
      <c r="H736" s="558"/>
      <c r="I736" s="558"/>
      <c r="J736" s="558"/>
      <c r="K736" s="558"/>
      <c r="L736" s="558"/>
      <c r="M736" s="573"/>
      <c r="N736" s="558"/>
      <c r="O736" s="558"/>
      <c r="P736" s="558"/>
    </row>
    <row r="737" spans="3:16" x14ac:dyDescent="0.2">
      <c r="C737" s="558"/>
      <c r="D737" s="558"/>
      <c r="E737" s="558"/>
      <c r="F737" s="558"/>
      <c r="G737" s="558"/>
      <c r="H737" s="558"/>
      <c r="I737" s="558"/>
      <c r="J737" s="558"/>
      <c r="K737" s="558"/>
      <c r="L737" s="558"/>
      <c r="M737" s="573"/>
      <c r="N737" s="558"/>
      <c r="O737" s="558"/>
      <c r="P737" s="558"/>
    </row>
    <row r="738" spans="3:16" x14ac:dyDescent="0.2">
      <c r="C738" s="558"/>
      <c r="D738" s="558"/>
      <c r="E738" s="558"/>
      <c r="F738" s="558"/>
      <c r="G738" s="558"/>
      <c r="H738" s="558"/>
      <c r="I738" s="558"/>
      <c r="J738" s="558"/>
      <c r="K738" s="558"/>
      <c r="L738" s="558"/>
      <c r="M738" s="573"/>
      <c r="N738" s="558"/>
      <c r="O738" s="558"/>
      <c r="P738" s="558"/>
    </row>
    <row r="739" spans="3:16" x14ac:dyDescent="0.2">
      <c r="C739" s="558"/>
      <c r="D739" s="558"/>
      <c r="E739" s="558"/>
      <c r="F739" s="558"/>
      <c r="G739" s="558"/>
      <c r="H739" s="558"/>
      <c r="I739" s="558"/>
      <c r="J739" s="558"/>
      <c r="K739" s="558"/>
      <c r="L739" s="558"/>
      <c r="M739" s="573"/>
      <c r="N739" s="558"/>
      <c r="O739" s="558"/>
      <c r="P739" s="558"/>
    </row>
    <row r="740" spans="3:16" x14ac:dyDescent="0.2">
      <c r="C740" s="558"/>
      <c r="D740" s="558"/>
      <c r="E740" s="558"/>
      <c r="F740" s="558"/>
      <c r="G740" s="558"/>
      <c r="H740" s="558"/>
      <c r="I740" s="558"/>
      <c r="J740" s="558"/>
      <c r="K740" s="558"/>
      <c r="L740" s="558"/>
      <c r="M740" s="573"/>
      <c r="N740" s="558"/>
      <c r="O740" s="558"/>
      <c r="P740" s="558"/>
    </row>
    <row r="741" spans="3:16" x14ac:dyDescent="0.2">
      <c r="C741" s="558"/>
      <c r="D741" s="558"/>
      <c r="E741" s="558"/>
      <c r="F741" s="558"/>
      <c r="G741" s="558"/>
      <c r="H741" s="558"/>
      <c r="I741" s="558"/>
      <c r="J741" s="558"/>
      <c r="K741" s="558"/>
      <c r="L741" s="558"/>
      <c r="M741" s="573"/>
      <c r="N741" s="558"/>
      <c r="O741" s="558"/>
      <c r="P741" s="558"/>
    </row>
    <row r="742" spans="3:16" x14ac:dyDescent="0.2">
      <c r="C742" s="558"/>
      <c r="D742" s="558"/>
      <c r="E742" s="558"/>
      <c r="F742" s="558"/>
      <c r="G742" s="558"/>
      <c r="H742" s="558"/>
      <c r="I742" s="558"/>
      <c r="J742" s="558"/>
      <c r="K742" s="558"/>
      <c r="L742" s="558"/>
      <c r="M742" s="573"/>
      <c r="N742" s="558"/>
      <c r="O742" s="558"/>
      <c r="P742" s="558"/>
    </row>
    <row r="743" spans="3:16" x14ac:dyDescent="0.2">
      <c r="C743" s="558"/>
      <c r="D743" s="558"/>
      <c r="E743" s="558"/>
      <c r="F743" s="558"/>
      <c r="G743" s="558"/>
      <c r="H743" s="558"/>
      <c r="I743" s="558"/>
      <c r="J743" s="558"/>
      <c r="K743" s="558"/>
      <c r="L743" s="558"/>
      <c r="M743" s="573"/>
      <c r="N743" s="558"/>
      <c r="O743" s="558"/>
      <c r="P743" s="558"/>
    </row>
    <row r="744" spans="3:16" x14ac:dyDescent="0.2">
      <c r="C744" s="558"/>
      <c r="D744" s="558"/>
      <c r="E744" s="558"/>
      <c r="F744" s="558"/>
      <c r="G744" s="558"/>
      <c r="H744" s="558"/>
      <c r="I744" s="558"/>
      <c r="J744" s="558"/>
      <c r="K744" s="558"/>
      <c r="L744" s="558"/>
      <c r="M744" s="573"/>
      <c r="N744" s="558"/>
      <c r="O744" s="558"/>
      <c r="P744" s="558"/>
    </row>
    <row r="745" spans="3:16" x14ac:dyDescent="0.2">
      <c r="C745" s="558"/>
      <c r="D745" s="558"/>
      <c r="E745" s="558"/>
      <c r="F745" s="558"/>
      <c r="G745" s="558"/>
      <c r="H745" s="558"/>
      <c r="I745" s="558"/>
      <c r="J745" s="558"/>
      <c r="K745" s="558"/>
      <c r="L745" s="558"/>
      <c r="M745" s="573"/>
      <c r="N745" s="558"/>
      <c r="O745" s="558"/>
      <c r="P745" s="558"/>
    </row>
    <row r="746" spans="3:16" x14ac:dyDescent="0.2">
      <c r="C746" s="558"/>
      <c r="D746" s="558"/>
      <c r="E746" s="558"/>
      <c r="F746" s="558"/>
      <c r="G746" s="558"/>
      <c r="H746" s="558"/>
      <c r="I746" s="558"/>
      <c r="J746" s="558"/>
      <c r="K746" s="558"/>
      <c r="L746" s="558"/>
      <c r="M746" s="573"/>
      <c r="N746" s="558"/>
      <c r="O746" s="558"/>
      <c r="P746" s="558"/>
    </row>
    <row r="747" spans="3:16" x14ac:dyDescent="0.2">
      <c r="C747" s="558"/>
      <c r="D747" s="558"/>
      <c r="E747" s="558"/>
      <c r="F747" s="558"/>
      <c r="G747" s="558"/>
      <c r="H747" s="558"/>
      <c r="I747" s="558"/>
      <c r="J747" s="558"/>
      <c r="K747" s="558"/>
      <c r="L747" s="558"/>
      <c r="M747" s="573"/>
      <c r="N747" s="558"/>
      <c r="O747" s="558"/>
      <c r="P747" s="558"/>
    </row>
    <row r="748" spans="3:16" x14ac:dyDescent="0.2">
      <c r="C748" s="558"/>
      <c r="D748" s="558"/>
      <c r="E748" s="558"/>
      <c r="F748" s="558"/>
      <c r="G748" s="558"/>
      <c r="H748" s="558"/>
      <c r="I748" s="558"/>
      <c r="J748" s="558"/>
      <c r="K748" s="558"/>
      <c r="L748" s="558"/>
      <c r="M748" s="573"/>
      <c r="N748" s="558"/>
      <c r="O748" s="558"/>
      <c r="P748" s="558"/>
    </row>
    <row r="749" spans="3:16" x14ac:dyDescent="0.2">
      <c r="C749" s="558"/>
      <c r="D749" s="558"/>
      <c r="E749" s="558"/>
      <c r="F749" s="558"/>
      <c r="G749" s="558"/>
      <c r="H749" s="558"/>
      <c r="I749" s="558"/>
      <c r="J749" s="558"/>
      <c r="K749" s="558"/>
      <c r="L749" s="558"/>
      <c r="M749" s="573"/>
      <c r="N749" s="558"/>
      <c r="O749" s="558"/>
      <c r="P749" s="558"/>
    </row>
    <row r="750" spans="3:16" x14ac:dyDescent="0.2">
      <c r="C750" s="558"/>
      <c r="D750" s="558"/>
      <c r="E750" s="558"/>
      <c r="F750" s="558"/>
      <c r="G750" s="558"/>
      <c r="H750" s="558"/>
      <c r="I750" s="558"/>
      <c r="J750" s="558"/>
      <c r="K750" s="558"/>
      <c r="L750" s="558"/>
      <c r="M750" s="573"/>
      <c r="N750" s="558"/>
      <c r="O750" s="558"/>
      <c r="P750" s="558"/>
    </row>
    <row r="751" spans="3:16" x14ac:dyDescent="0.2">
      <c r="C751" s="558"/>
      <c r="D751" s="558"/>
      <c r="E751" s="558"/>
      <c r="F751" s="558"/>
      <c r="G751" s="558"/>
      <c r="H751" s="558"/>
      <c r="I751" s="558"/>
      <c r="J751" s="558"/>
      <c r="K751" s="558"/>
      <c r="L751" s="558"/>
      <c r="M751" s="573"/>
      <c r="N751" s="558"/>
      <c r="O751" s="558"/>
      <c r="P751" s="558"/>
    </row>
    <row r="752" spans="3:16" x14ac:dyDescent="0.2">
      <c r="C752" s="558"/>
      <c r="D752" s="558"/>
      <c r="E752" s="558"/>
      <c r="F752" s="558"/>
      <c r="G752" s="558"/>
      <c r="H752" s="558"/>
      <c r="I752" s="558"/>
      <c r="J752" s="558"/>
      <c r="K752" s="558"/>
      <c r="L752" s="558"/>
      <c r="M752" s="573"/>
      <c r="N752" s="558"/>
      <c r="O752" s="558"/>
      <c r="P752" s="558"/>
    </row>
    <row r="753" spans="3:16" x14ac:dyDescent="0.2">
      <c r="C753" s="558"/>
      <c r="D753" s="558"/>
      <c r="E753" s="558"/>
      <c r="F753" s="558"/>
      <c r="G753" s="558"/>
      <c r="H753" s="558"/>
      <c r="I753" s="558"/>
      <c r="J753" s="558"/>
      <c r="K753" s="558"/>
      <c r="L753" s="558"/>
      <c r="M753" s="573"/>
      <c r="N753" s="558"/>
      <c r="O753" s="558"/>
      <c r="P753" s="558"/>
    </row>
    <row r="754" spans="3:16" x14ac:dyDescent="0.2">
      <c r="C754" s="558"/>
      <c r="D754" s="558"/>
      <c r="E754" s="558"/>
      <c r="F754" s="558"/>
      <c r="G754" s="558"/>
      <c r="H754" s="558"/>
      <c r="I754" s="558"/>
      <c r="J754" s="558"/>
      <c r="K754" s="558"/>
      <c r="L754" s="558"/>
      <c r="M754" s="573"/>
      <c r="N754" s="558"/>
      <c r="O754" s="558"/>
      <c r="P754" s="558"/>
    </row>
    <row r="755" spans="3:16" x14ac:dyDescent="0.2">
      <c r="C755" s="558"/>
      <c r="D755" s="558"/>
      <c r="E755" s="558"/>
      <c r="F755" s="558"/>
      <c r="G755" s="558"/>
      <c r="H755" s="558"/>
      <c r="I755" s="558"/>
      <c r="J755" s="558"/>
      <c r="K755" s="558"/>
      <c r="L755" s="558"/>
      <c r="M755" s="573"/>
      <c r="N755" s="558"/>
      <c r="O755" s="558"/>
      <c r="P755" s="558"/>
    </row>
    <row r="756" spans="3:16" x14ac:dyDescent="0.2">
      <c r="C756" s="558"/>
      <c r="D756" s="558"/>
      <c r="E756" s="558"/>
      <c r="F756" s="558"/>
      <c r="G756" s="558"/>
      <c r="H756" s="558"/>
      <c r="I756" s="558"/>
      <c r="J756" s="558"/>
      <c r="K756" s="558"/>
      <c r="L756" s="558"/>
      <c r="M756" s="573"/>
      <c r="N756" s="558"/>
      <c r="O756" s="558"/>
      <c r="P756" s="558"/>
    </row>
    <row r="757" spans="3:16" x14ac:dyDescent="0.2">
      <c r="C757" s="558"/>
      <c r="D757" s="558"/>
      <c r="E757" s="558"/>
      <c r="F757" s="558"/>
      <c r="G757" s="558"/>
      <c r="H757" s="558"/>
      <c r="I757" s="558"/>
      <c r="J757" s="558"/>
      <c r="K757" s="558"/>
      <c r="L757" s="558"/>
      <c r="M757" s="573"/>
      <c r="N757" s="558"/>
      <c r="O757" s="558"/>
      <c r="P757" s="558"/>
    </row>
    <row r="758" spans="3:16" x14ac:dyDescent="0.2">
      <c r="C758" s="558"/>
      <c r="D758" s="558"/>
      <c r="E758" s="558"/>
      <c r="F758" s="558"/>
      <c r="G758" s="558"/>
      <c r="H758" s="558"/>
      <c r="I758" s="558"/>
      <c r="J758" s="558"/>
      <c r="K758" s="558"/>
      <c r="L758" s="558"/>
      <c r="M758" s="573"/>
      <c r="N758" s="558"/>
      <c r="O758" s="558"/>
      <c r="P758" s="558"/>
    </row>
    <row r="759" spans="3:16" x14ac:dyDescent="0.2">
      <c r="C759" s="558"/>
      <c r="D759" s="558"/>
      <c r="E759" s="558"/>
      <c r="F759" s="558"/>
      <c r="G759" s="558"/>
      <c r="H759" s="558"/>
      <c r="I759" s="558"/>
      <c r="J759" s="558"/>
      <c r="K759" s="558"/>
      <c r="L759" s="558"/>
      <c r="M759" s="573"/>
      <c r="N759" s="558"/>
      <c r="O759" s="558"/>
      <c r="P759" s="558"/>
    </row>
    <row r="760" spans="3:16" x14ac:dyDescent="0.2">
      <c r="C760" s="558"/>
      <c r="D760" s="558"/>
      <c r="E760" s="558"/>
      <c r="F760" s="558"/>
      <c r="G760" s="558"/>
      <c r="H760" s="558"/>
      <c r="I760" s="558"/>
      <c r="J760" s="558"/>
      <c r="K760" s="558"/>
      <c r="L760" s="558"/>
      <c r="M760" s="573"/>
      <c r="N760" s="558"/>
      <c r="O760" s="558"/>
      <c r="P760" s="558"/>
    </row>
    <row r="761" spans="3:16" x14ac:dyDescent="0.2">
      <c r="C761" s="558"/>
      <c r="D761" s="558"/>
      <c r="E761" s="558"/>
      <c r="F761" s="558"/>
      <c r="G761" s="558"/>
      <c r="H761" s="558"/>
      <c r="I761" s="558"/>
      <c r="J761" s="558"/>
      <c r="K761" s="558"/>
      <c r="L761" s="558"/>
      <c r="M761" s="573"/>
      <c r="N761" s="558"/>
      <c r="O761" s="558"/>
      <c r="P761" s="558"/>
    </row>
    <row r="762" spans="3:16" x14ac:dyDescent="0.2">
      <c r="C762" s="558"/>
      <c r="D762" s="558"/>
      <c r="E762" s="558"/>
      <c r="F762" s="558"/>
      <c r="G762" s="558"/>
      <c r="H762" s="558"/>
      <c r="I762" s="558"/>
      <c r="J762" s="558"/>
      <c r="K762" s="558"/>
      <c r="L762" s="558"/>
      <c r="M762" s="573"/>
      <c r="N762" s="558"/>
      <c r="O762" s="558"/>
      <c r="P762" s="558"/>
    </row>
    <row r="763" spans="3:16" x14ac:dyDescent="0.2">
      <c r="C763" s="558"/>
      <c r="D763" s="558"/>
      <c r="E763" s="558"/>
      <c r="F763" s="558"/>
      <c r="G763" s="558"/>
      <c r="H763" s="558"/>
      <c r="I763" s="558"/>
      <c r="J763" s="558"/>
      <c r="K763" s="558"/>
      <c r="L763" s="558"/>
      <c r="M763" s="573"/>
      <c r="N763" s="558"/>
      <c r="O763" s="558"/>
      <c r="P763" s="558"/>
    </row>
    <row r="764" spans="3:16" x14ac:dyDescent="0.2">
      <c r="C764" s="558"/>
      <c r="D764" s="558"/>
      <c r="E764" s="558"/>
      <c r="F764" s="558"/>
      <c r="G764" s="558"/>
      <c r="H764" s="558"/>
      <c r="I764" s="558"/>
      <c r="J764" s="558"/>
      <c r="K764" s="558"/>
      <c r="L764" s="558"/>
      <c r="M764" s="573"/>
      <c r="N764" s="558"/>
      <c r="O764" s="558"/>
      <c r="P764" s="558"/>
    </row>
    <row r="765" spans="3:16" x14ac:dyDescent="0.2">
      <c r="C765" s="558"/>
      <c r="D765" s="558"/>
      <c r="E765" s="558"/>
      <c r="F765" s="558"/>
      <c r="G765" s="558"/>
      <c r="H765" s="558"/>
      <c r="I765" s="558"/>
      <c r="J765" s="558"/>
      <c r="K765" s="558"/>
      <c r="L765" s="558"/>
      <c r="M765" s="573"/>
      <c r="N765" s="558"/>
      <c r="O765" s="558"/>
      <c r="P765" s="558"/>
    </row>
    <row r="766" spans="3:16" x14ac:dyDescent="0.2">
      <c r="C766" s="558"/>
      <c r="D766" s="558"/>
      <c r="E766" s="558"/>
      <c r="F766" s="558"/>
      <c r="G766" s="558"/>
      <c r="H766" s="558"/>
      <c r="I766" s="558"/>
      <c r="J766" s="558"/>
      <c r="K766" s="558"/>
      <c r="L766" s="558"/>
      <c r="M766" s="573"/>
      <c r="N766" s="558"/>
      <c r="O766" s="558"/>
      <c r="P766" s="558"/>
    </row>
    <row r="767" spans="3:16" x14ac:dyDescent="0.2">
      <c r="C767" s="558"/>
      <c r="D767" s="558"/>
      <c r="E767" s="558"/>
      <c r="F767" s="558"/>
      <c r="G767" s="558"/>
      <c r="H767" s="558"/>
      <c r="I767" s="558"/>
      <c r="J767" s="558"/>
      <c r="K767" s="558"/>
      <c r="L767" s="558"/>
      <c r="M767" s="573"/>
      <c r="N767" s="558"/>
      <c r="O767" s="558"/>
      <c r="P767" s="558"/>
    </row>
    <row r="768" spans="3:16" x14ac:dyDescent="0.2">
      <c r="C768" s="558"/>
      <c r="D768" s="558"/>
      <c r="E768" s="558"/>
      <c r="F768" s="558"/>
      <c r="G768" s="558"/>
      <c r="H768" s="558"/>
      <c r="I768" s="558"/>
      <c r="J768" s="558"/>
      <c r="K768" s="558"/>
      <c r="L768" s="558"/>
      <c r="M768" s="573"/>
      <c r="N768" s="558"/>
      <c r="O768" s="558"/>
      <c r="P768" s="558"/>
    </row>
    <row r="769" spans="3:16" x14ac:dyDescent="0.2">
      <c r="C769" s="558"/>
      <c r="D769" s="558"/>
      <c r="E769" s="558"/>
      <c r="F769" s="558"/>
      <c r="G769" s="558"/>
      <c r="H769" s="558"/>
      <c r="I769" s="558"/>
      <c r="J769" s="558"/>
      <c r="K769" s="558"/>
      <c r="L769" s="558"/>
      <c r="M769" s="573"/>
      <c r="N769" s="558"/>
      <c r="O769" s="558"/>
      <c r="P769" s="558"/>
    </row>
    <row r="770" spans="3:16" x14ac:dyDescent="0.2">
      <c r="C770" s="558"/>
      <c r="D770" s="558"/>
      <c r="E770" s="558"/>
      <c r="F770" s="558"/>
      <c r="G770" s="558"/>
      <c r="H770" s="558"/>
      <c r="I770" s="558"/>
      <c r="J770" s="558"/>
      <c r="K770" s="558"/>
      <c r="L770" s="558"/>
      <c r="M770" s="573"/>
      <c r="N770" s="558"/>
      <c r="O770" s="558"/>
      <c r="P770" s="558"/>
    </row>
    <row r="771" spans="3:16" x14ac:dyDescent="0.2">
      <c r="C771" s="558"/>
      <c r="D771" s="558"/>
      <c r="E771" s="558"/>
      <c r="F771" s="558"/>
      <c r="G771" s="558"/>
      <c r="H771" s="558"/>
      <c r="I771" s="558"/>
      <c r="J771" s="558"/>
      <c r="K771" s="558"/>
      <c r="L771" s="558"/>
      <c r="M771" s="573"/>
      <c r="N771" s="558"/>
      <c r="O771" s="558"/>
      <c r="P771" s="558"/>
    </row>
    <row r="772" spans="3:16" x14ac:dyDescent="0.2">
      <c r="C772" s="558"/>
      <c r="D772" s="558"/>
      <c r="E772" s="558"/>
      <c r="F772" s="558"/>
      <c r="G772" s="558"/>
      <c r="H772" s="558"/>
      <c r="I772" s="558"/>
      <c r="J772" s="558"/>
      <c r="K772" s="558"/>
      <c r="L772" s="558"/>
      <c r="M772" s="573"/>
      <c r="N772" s="558"/>
      <c r="O772" s="558"/>
      <c r="P772" s="558"/>
    </row>
    <row r="773" spans="3:16" x14ac:dyDescent="0.2">
      <c r="C773" s="558"/>
      <c r="D773" s="558"/>
      <c r="E773" s="558"/>
      <c r="F773" s="558"/>
      <c r="G773" s="558"/>
      <c r="H773" s="558"/>
      <c r="I773" s="558"/>
      <c r="J773" s="558"/>
      <c r="K773" s="558"/>
      <c r="L773" s="558"/>
      <c r="M773" s="573"/>
      <c r="N773" s="558"/>
      <c r="O773" s="558"/>
      <c r="P773" s="558"/>
    </row>
    <row r="774" spans="3:16" x14ac:dyDescent="0.2">
      <c r="C774" s="558"/>
      <c r="D774" s="558"/>
      <c r="E774" s="558"/>
      <c r="F774" s="558"/>
      <c r="G774" s="558"/>
      <c r="H774" s="558"/>
      <c r="I774" s="558"/>
      <c r="J774" s="558"/>
      <c r="K774" s="558"/>
      <c r="L774" s="558"/>
      <c r="M774" s="573"/>
      <c r="N774" s="558"/>
      <c r="O774" s="558"/>
      <c r="P774" s="558"/>
    </row>
    <row r="775" spans="3:16" x14ac:dyDescent="0.2">
      <c r="C775" s="558"/>
      <c r="D775" s="558"/>
      <c r="E775" s="558"/>
      <c r="F775" s="558"/>
      <c r="G775" s="558"/>
      <c r="H775" s="558"/>
      <c r="I775" s="558"/>
      <c r="J775" s="558"/>
      <c r="K775" s="558"/>
      <c r="L775" s="558"/>
      <c r="M775" s="573"/>
      <c r="N775" s="558"/>
      <c r="O775" s="558"/>
      <c r="P775" s="558"/>
    </row>
    <row r="776" spans="3:16" x14ac:dyDescent="0.2">
      <c r="C776" s="558"/>
      <c r="D776" s="558"/>
      <c r="E776" s="558"/>
      <c r="F776" s="558"/>
      <c r="G776" s="558"/>
      <c r="H776" s="558"/>
      <c r="I776" s="558"/>
      <c r="J776" s="558"/>
      <c r="K776" s="558"/>
      <c r="L776" s="558"/>
      <c r="M776" s="573"/>
      <c r="N776" s="558"/>
      <c r="O776" s="558"/>
      <c r="P776" s="558"/>
    </row>
    <row r="777" spans="3:16" x14ac:dyDescent="0.2">
      <c r="C777" s="558"/>
      <c r="D777" s="558"/>
      <c r="E777" s="558"/>
      <c r="F777" s="558"/>
      <c r="G777" s="558"/>
      <c r="H777" s="558"/>
      <c r="I777" s="558"/>
      <c r="J777" s="558"/>
      <c r="K777" s="558"/>
      <c r="L777" s="558"/>
      <c r="M777" s="573"/>
      <c r="N777" s="558"/>
      <c r="O777" s="558"/>
      <c r="P777" s="558"/>
    </row>
    <row r="778" spans="3:16" x14ac:dyDescent="0.2">
      <c r="C778" s="558"/>
      <c r="D778" s="558"/>
      <c r="E778" s="558"/>
      <c r="F778" s="558"/>
      <c r="G778" s="558"/>
      <c r="H778" s="558"/>
      <c r="I778" s="558"/>
      <c r="J778" s="558"/>
      <c r="K778" s="558"/>
      <c r="L778" s="558"/>
      <c r="M778" s="573"/>
      <c r="N778" s="558"/>
      <c r="O778" s="558"/>
      <c r="P778" s="558"/>
    </row>
    <row r="779" spans="3:16" x14ac:dyDescent="0.2">
      <c r="C779" s="558"/>
      <c r="D779" s="558"/>
      <c r="E779" s="558"/>
      <c r="F779" s="558"/>
      <c r="G779" s="558"/>
      <c r="H779" s="558"/>
      <c r="I779" s="558"/>
      <c r="J779" s="558"/>
      <c r="K779" s="558"/>
      <c r="L779" s="558"/>
      <c r="M779" s="573"/>
      <c r="N779" s="558"/>
      <c r="O779" s="558"/>
      <c r="P779" s="558"/>
    </row>
    <row r="780" spans="3:16" x14ac:dyDescent="0.2">
      <c r="C780" s="558"/>
      <c r="D780" s="558"/>
      <c r="E780" s="558"/>
      <c r="F780" s="558"/>
      <c r="G780" s="558"/>
      <c r="H780" s="558"/>
      <c r="I780" s="558"/>
      <c r="J780" s="558"/>
      <c r="K780" s="558"/>
      <c r="L780" s="558"/>
      <c r="M780" s="573"/>
      <c r="N780" s="558"/>
      <c r="O780" s="558"/>
      <c r="P780" s="558"/>
    </row>
    <row r="781" spans="3:16" x14ac:dyDescent="0.2">
      <c r="C781" s="558"/>
      <c r="D781" s="558"/>
      <c r="E781" s="558"/>
      <c r="F781" s="558"/>
      <c r="G781" s="558"/>
      <c r="H781" s="558"/>
      <c r="I781" s="558"/>
      <c r="J781" s="558"/>
      <c r="K781" s="558"/>
      <c r="L781" s="558"/>
      <c r="M781" s="573"/>
      <c r="N781" s="558"/>
      <c r="O781" s="558"/>
      <c r="P781" s="558"/>
    </row>
    <row r="782" spans="3:16" x14ac:dyDescent="0.2">
      <c r="C782" s="558"/>
      <c r="D782" s="558"/>
      <c r="E782" s="558"/>
      <c r="F782" s="558"/>
      <c r="G782" s="558"/>
      <c r="H782" s="558"/>
      <c r="I782" s="558"/>
      <c r="J782" s="558"/>
      <c r="K782" s="558"/>
      <c r="L782" s="558"/>
      <c r="M782" s="573"/>
      <c r="N782" s="558"/>
      <c r="O782" s="558"/>
      <c r="P782" s="558"/>
    </row>
    <row r="783" spans="3:16" x14ac:dyDescent="0.2">
      <c r="C783" s="558"/>
      <c r="D783" s="558"/>
      <c r="E783" s="558"/>
      <c r="F783" s="558"/>
      <c r="G783" s="558"/>
      <c r="H783" s="558"/>
      <c r="I783" s="558"/>
      <c r="J783" s="558"/>
      <c r="K783" s="558"/>
      <c r="L783" s="558"/>
      <c r="M783" s="573"/>
      <c r="N783" s="558"/>
      <c r="O783" s="558"/>
      <c r="P783" s="558"/>
    </row>
    <row r="784" spans="3:16" x14ac:dyDescent="0.2">
      <c r="C784" s="558"/>
      <c r="D784" s="558"/>
      <c r="E784" s="558"/>
      <c r="F784" s="558"/>
      <c r="G784" s="558"/>
      <c r="H784" s="558"/>
      <c r="I784" s="558"/>
      <c r="J784" s="558"/>
      <c r="K784" s="558"/>
      <c r="L784" s="558"/>
      <c r="M784" s="573"/>
      <c r="N784" s="558"/>
      <c r="O784" s="558"/>
      <c r="P784" s="558"/>
    </row>
    <row r="785" spans="3:16" x14ac:dyDescent="0.2">
      <c r="C785" s="558"/>
      <c r="D785" s="558"/>
      <c r="E785" s="558"/>
      <c r="F785" s="558"/>
      <c r="G785" s="558"/>
      <c r="H785" s="558"/>
      <c r="I785" s="558"/>
      <c r="J785" s="558"/>
      <c r="K785" s="558"/>
      <c r="L785" s="558"/>
      <c r="M785" s="573"/>
      <c r="N785" s="558"/>
      <c r="O785" s="558"/>
      <c r="P785" s="558"/>
    </row>
    <row r="786" spans="3:16" x14ac:dyDescent="0.2">
      <c r="C786" s="558"/>
      <c r="D786" s="558"/>
      <c r="E786" s="558"/>
      <c r="F786" s="558"/>
      <c r="G786" s="558"/>
      <c r="H786" s="558"/>
      <c r="I786" s="558"/>
      <c r="J786" s="558"/>
      <c r="K786" s="558"/>
      <c r="L786" s="558"/>
      <c r="M786" s="573"/>
      <c r="N786" s="558"/>
      <c r="O786" s="558"/>
      <c r="P786" s="558"/>
    </row>
    <row r="787" spans="3:16" x14ac:dyDescent="0.2">
      <c r="C787" s="558"/>
      <c r="D787" s="558"/>
      <c r="E787" s="558"/>
      <c r="F787" s="558"/>
      <c r="G787" s="558"/>
      <c r="H787" s="558"/>
      <c r="I787" s="558"/>
      <c r="J787" s="558"/>
      <c r="K787" s="558"/>
      <c r="L787" s="558"/>
      <c r="M787" s="573"/>
      <c r="N787" s="558"/>
      <c r="O787" s="558"/>
      <c r="P787" s="558"/>
    </row>
    <row r="788" spans="3:16" x14ac:dyDescent="0.2">
      <c r="C788" s="558"/>
      <c r="D788" s="558"/>
      <c r="E788" s="558"/>
      <c r="F788" s="558"/>
      <c r="G788" s="558"/>
      <c r="H788" s="558"/>
      <c r="I788" s="558"/>
      <c r="J788" s="558"/>
      <c r="K788" s="558"/>
      <c r="L788" s="558"/>
      <c r="M788" s="573"/>
      <c r="N788" s="558"/>
      <c r="O788" s="558"/>
      <c r="P788" s="558"/>
    </row>
    <row r="789" spans="3:16" x14ac:dyDescent="0.2">
      <c r="C789" s="558"/>
      <c r="D789" s="558"/>
      <c r="E789" s="558"/>
      <c r="F789" s="558"/>
      <c r="G789" s="558"/>
      <c r="H789" s="558"/>
      <c r="I789" s="558"/>
      <c r="J789" s="558"/>
      <c r="K789" s="558"/>
      <c r="L789" s="558"/>
      <c r="M789" s="573"/>
      <c r="N789" s="558"/>
      <c r="O789" s="558"/>
      <c r="P789" s="558"/>
    </row>
    <row r="790" spans="3:16" x14ac:dyDescent="0.2">
      <c r="C790" s="558"/>
      <c r="D790" s="558"/>
      <c r="E790" s="558"/>
      <c r="F790" s="558"/>
      <c r="G790" s="558"/>
      <c r="H790" s="558"/>
      <c r="I790" s="558"/>
      <c r="J790" s="558"/>
      <c r="K790" s="558"/>
      <c r="L790" s="558"/>
      <c r="M790" s="573"/>
      <c r="N790" s="558"/>
      <c r="O790" s="558"/>
      <c r="P790" s="558"/>
    </row>
    <row r="791" spans="3:16" x14ac:dyDescent="0.2">
      <c r="C791" s="558"/>
      <c r="D791" s="558"/>
      <c r="E791" s="558"/>
      <c r="F791" s="558"/>
      <c r="G791" s="558"/>
      <c r="H791" s="558"/>
      <c r="I791" s="558"/>
      <c r="J791" s="558"/>
      <c r="K791" s="558"/>
      <c r="L791" s="558"/>
      <c r="M791" s="573"/>
      <c r="N791" s="558"/>
      <c r="O791" s="558"/>
      <c r="P791" s="558"/>
    </row>
    <row r="792" spans="3:16" x14ac:dyDescent="0.2">
      <c r="C792" s="558"/>
      <c r="D792" s="558"/>
      <c r="E792" s="558"/>
      <c r="F792" s="558"/>
      <c r="G792" s="558"/>
      <c r="H792" s="558"/>
      <c r="I792" s="558"/>
      <c r="J792" s="558"/>
      <c r="K792" s="558"/>
      <c r="L792" s="558"/>
      <c r="M792" s="573"/>
      <c r="N792" s="558"/>
      <c r="O792" s="558"/>
      <c r="P792" s="558"/>
    </row>
    <row r="793" spans="3:16" x14ac:dyDescent="0.2">
      <c r="C793" s="558"/>
      <c r="D793" s="558"/>
      <c r="E793" s="558"/>
      <c r="F793" s="558"/>
      <c r="G793" s="558"/>
      <c r="H793" s="558"/>
      <c r="I793" s="558"/>
      <c r="J793" s="558"/>
      <c r="K793" s="558"/>
      <c r="L793" s="558"/>
      <c r="M793" s="573"/>
      <c r="N793" s="558"/>
      <c r="O793" s="558"/>
      <c r="P793" s="558"/>
    </row>
    <row r="794" spans="3:16" x14ac:dyDescent="0.2">
      <c r="C794" s="558"/>
      <c r="D794" s="558"/>
      <c r="E794" s="558"/>
      <c r="F794" s="558"/>
      <c r="G794" s="558"/>
      <c r="H794" s="558"/>
      <c r="I794" s="558"/>
      <c r="J794" s="558"/>
      <c r="K794" s="558"/>
      <c r="L794" s="558"/>
      <c r="M794" s="573"/>
      <c r="N794" s="558"/>
      <c r="O794" s="558"/>
      <c r="P794" s="558"/>
    </row>
    <row r="795" spans="3:16" x14ac:dyDescent="0.2">
      <c r="C795" s="558"/>
      <c r="D795" s="558"/>
      <c r="E795" s="558"/>
      <c r="F795" s="558"/>
      <c r="G795" s="558"/>
      <c r="H795" s="558"/>
      <c r="I795" s="558"/>
      <c r="J795" s="558"/>
      <c r="K795" s="558"/>
      <c r="L795" s="558"/>
      <c r="M795" s="573"/>
      <c r="N795" s="558"/>
      <c r="O795" s="558"/>
      <c r="P795" s="558"/>
    </row>
    <row r="796" spans="3:16" x14ac:dyDescent="0.2">
      <c r="C796" s="558"/>
      <c r="D796" s="558"/>
      <c r="E796" s="558"/>
      <c r="F796" s="558"/>
      <c r="G796" s="558"/>
      <c r="H796" s="558"/>
      <c r="I796" s="558"/>
      <c r="J796" s="558"/>
      <c r="K796" s="558"/>
      <c r="L796" s="558"/>
      <c r="M796" s="573"/>
      <c r="N796" s="558"/>
      <c r="O796" s="558"/>
      <c r="P796" s="558"/>
    </row>
    <row r="797" spans="3:16" x14ac:dyDescent="0.2">
      <c r="C797" s="558"/>
      <c r="D797" s="558"/>
      <c r="E797" s="558"/>
      <c r="F797" s="558"/>
      <c r="G797" s="558"/>
      <c r="H797" s="558"/>
      <c r="I797" s="558"/>
      <c r="J797" s="558"/>
      <c r="K797" s="558"/>
      <c r="L797" s="558"/>
      <c r="M797" s="573"/>
      <c r="N797" s="558"/>
      <c r="O797" s="558"/>
      <c r="P797" s="558"/>
    </row>
    <row r="798" spans="3:16" x14ac:dyDescent="0.2">
      <c r="C798" s="558"/>
      <c r="D798" s="558"/>
      <c r="E798" s="558"/>
      <c r="F798" s="558"/>
      <c r="G798" s="558"/>
      <c r="H798" s="558"/>
      <c r="I798" s="558"/>
      <c r="J798" s="558"/>
      <c r="K798" s="558"/>
      <c r="L798" s="558"/>
      <c r="M798" s="573"/>
      <c r="N798" s="558"/>
      <c r="O798" s="558"/>
      <c r="P798" s="558"/>
    </row>
    <row r="799" spans="3:16" x14ac:dyDescent="0.2">
      <c r="C799" s="558"/>
      <c r="D799" s="558"/>
      <c r="E799" s="558"/>
      <c r="F799" s="558"/>
      <c r="G799" s="558"/>
      <c r="H799" s="558"/>
      <c r="I799" s="558"/>
      <c r="J799" s="558"/>
      <c r="K799" s="558"/>
      <c r="L799" s="558"/>
      <c r="M799" s="573"/>
      <c r="N799" s="558"/>
      <c r="O799" s="558"/>
      <c r="P799" s="558"/>
    </row>
    <row r="800" spans="3:16" x14ac:dyDescent="0.2">
      <c r="C800" s="558"/>
      <c r="D800" s="558"/>
      <c r="E800" s="558"/>
      <c r="F800" s="558"/>
      <c r="G800" s="558"/>
      <c r="H800" s="558"/>
      <c r="I800" s="558"/>
      <c r="J800" s="558"/>
      <c r="K800" s="558"/>
      <c r="L800" s="558"/>
      <c r="M800" s="573"/>
      <c r="N800" s="558"/>
      <c r="O800" s="558"/>
      <c r="P800" s="558"/>
    </row>
    <row r="801" spans="3:16" x14ac:dyDescent="0.2">
      <c r="C801" s="558"/>
      <c r="D801" s="558"/>
      <c r="E801" s="558"/>
      <c r="F801" s="558"/>
      <c r="G801" s="558"/>
      <c r="H801" s="558"/>
      <c r="I801" s="558"/>
      <c r="J801" s="558"/>
      <c r="K801" s="558"/>
      <c r="L801" s="558"/>
      <c r="M801" s="573"/>
      <c r="N801" s="558"/>
      <c r="O801" s="558"/>
      <c r="P801" s="558"/>
    </row>
    <row r="802" spans="3:16" x14ac:dyDescent="0.2">
      <c r="C802" s="558"/>
      <c r="D802" s="558"/>
      <c r="E802" s="558"/>
      <c r="F802" s="558"/>
      <c r="G802" s="558"/>
      <c r="H802" s="558"/>
      <c r="I802" s="558"/>
      <c r="J802" s="558"/>
      <c r="K802" s="558"/>
      <c r="L802" s="558"/>
      <c r="M802" s="573"/>
      <c r="N802" s="558"/>
      <c r="O802" s="558"/>
      <c r="P802" s="558"/>
    </row>
    <row r="803" spans="3:16" x14ac:dyDescent="0.2">
      <c r="C803" s="558"/>
      <c r="D803" s="558"/>
      <c r="E803" s="558"/>
      <c r="F803" s="558"/>
      <c r="G803" s="558"/>
      <c r="H803" s="558"/>
      <c r="I803" s="558"/>
      <c r="J803" s="558"/>
      <c r="K803" s="558"/>
      <c r="L803" s="558"/>
      <c r="M803" s="573"/>
      <c r="N803" s="558"/>
      <c r="O803" s="558"/>
      <c r="P803" s="558"/>
    </row>
    <row r="804" spans="3:16" x14ac:dyDescent="0.2">
      <c r="C804" s="558"/>
      <c r="D804" s="558"/>
      <c r="E804" s="558"/>
      <c r="F804" s="558"/>
      <c r="G804" s="558"/>
      <c r="H804" s="558"/>
      <c r="I804" s="558"/>
      <c r="J804" s="558"/>
      <c r="K804" s="558"/>
      <c r="L804" s="558"/>
      <c r="M804" s="573"/>
      <c r="N804" s="558"/>
      <c r="O804" s="558"/>
      <c r="P804" s="558"/>
    </row>
    <row r="805" spans="3:16" x14ac:dyDescent="0.2">
      <c r="C805" s="558"/>
      <c r="D805" s="558"/>
      <c r="E805" s="558"/>
      <c r="F805" s="558"/>
      <c r="G805" s="558"/>
      <c r="H805" s="558"/>
      <c r="I805" s="558"/>
      <c r="J805" s="558"/>
      <c r="K805" s="558"/>
      <c r="L805" s="558"/>
      <c r="M805" s="573"/>
      <c r="N805" s="558"/>
      <c r="O805" s="558"/>
      <c r="P805" s="558"/>
    </row>
    <row r="806" spans="3:16" x14ac:dyDescent="0.2">
      <c r="C806" s="558"/>
      <c r="D806" s="558"/>
      <c r="E806" s="558"/>
      <c r="F806" s="558"/>
      <c r="G806" s="558"/>
      <c r="H806" s="558"/>
      <c r="I806" s="558"/>
      <c r="J806" s="558"/>
      <c r="K806" s="558"/>
      <c r="L806" s="558"/>
      <c r="M806" s="573"/>
      <c r="N806" s="558"/>
      <c r="O806" s="558"/>
      <c r="P806" s="558"/>
    </row>
    <row r="807" spans="3:16" x14ac:dyDescent="0.2">
      <c r="C807" s="558"/>
      <c r="D807" s="558"/>
      <c r="E807" s="558"/>
      <c r="F807" s="558"/>
      <c r="G807" s="558"/>
      <c r="H807" s="558"/>
      <c r="I807" s="558"/>
      <c r="J807" s="558"/>
      <c r="K807" s="558"/>
      <c r="L807" s="558"/>
      <c r="M807" s="573"/>
      <c r="N807" s="558"/>
      <c r="O807" s="558"/>
      <c r="P807" s="558"/>
    </row>
    <row r="808" spans="3:16" x14ac:dyDescent="0.2">
      <c r="C808" s="558"/>
      <c r="D808" s="558"/>
      <c r="E808" s="558"/>
      <c r="F808" s="558"/>
      <c r="G808" s="558"/>
      <c r="H808" s="558"/>
      <c r="I808" s="558"/>
      <c r="J808" s="558"/>
      <c r="K808" s="558"/>
      <c r="L808" s="558"/>
      <c r="M808" s="573"/>
      <c r="N808" s="558"/>
      <c r="O808" s="558"/>
      <c r="P808" s="558"/>
    </row>
    <row r="809" spans="3:16" x14ac:dyDescent="0.2">
      <c r="C809" s="558"/>
      <c r="D809" s="558"/>
      <c r="E809" s="558"/>
      <c r="F809" s="558"/>
      <c r="G809" s="558"/>
      <c r="H809" s="558"/>
      <c r="I809" s="558"/>
      <c r="J809" s="558"/>
      <c r="K809" s="558"/>
      <c r="L809" s="558"/>
      <c r="M809" s="573"/>
      <c r="N809" s="558"/>
      <c r="O809" s="558"/>
      <c r="P809" s="558"/>
    </row>
    <row r="810" spans="3:16" x14ac:dyDescent="0.2">
      <c r="C810" s="558"/>
      <c r="D810" s="558"/>
      <c r="E810" s="558"/>
      <c r="F810" s="558"/>
      <c r="G810" s="558"/>
      <c r="H810" s="558"/>
      <c r="I810" s="558"/>
      <c r="J810" s="558"/>
      <c r="K810" s="558"/>
      <c r="L810" s="558"/>
      <c r="M810" s="573"/>
      <c r="N810" s="558"/>
      <c r="O810" s="558"/>
      <c r="P810" s="558"/>
    </row>
    <row r="811" spans="3:16" x14ac:dyDescent="0.2">
      <c r="C811" s="558"/>
      <c r="D811" s="558"/>
      <c r="E811" s="558"/>
      <c r="F811" s="558"/>
      <c r="G811" s="558"/>
      <c r="H811" s="558"/>
      <c r="I811" s="558"/>
      <c r="J811" s="558"/>
      <c r="K811" s="558"/>
      <c r="L811" s="558"/>
      <c r="M811" s="573"/>
      <c r="N811" s="558"/>
      <c r="O811" s="558"/>
      <c r="P811" s="558"/>
    </row>
    <row r="812" spans="3:16" x14ac:dyDescent="0.2">
      <c r="C812" s="558"/>
      <c r="D812" s="558"/>
      <c r="E812" s="558"/>
      <c r="F812" s="558"/>
      <c r="G812" s="558"/>
      <c r="H812" s="558"/>
      <c r="I812" s="558"/>
      <c r="J812" s="558"/>
      <c r="K812" s="558"/>
      <c r="L812" s="558"/>
      <c r="M812" s="573"/>
      <c r="N812" s="558"/>
      <c r="O812" s="558"/>
      <c r="P812" s="558"/>
    </row>
    <row r="813" spans="3:16" x14ac:dyDescent="0.2">
      <c r="C813" s="558"/>
      <c r="D813" s="558"/>
      <c r="E813" s="558"/>
      <c r="F813" s="558"/>
      <c r="G813" s="558"/>
      <c r="H813" s="558"/>
      <c r="I813" s="558"/>
      <c r="J813" s="558"/>
      <c r="K813" s="558"/>
      <c r="L813" s="558"/>
      <c r="M813" s="573"/>
      <c r="N813" s="558"/>
      <c r="O813" s="558"/>
      <c r="P813" s="558"/>
    </row>
    <row r="814" spans="3:16" x14ac:dyDescent="0.2">
      <c r="C814" s="558"/>
      <c r="D814" s="558"/>
      <c r="E814" s="558"/>
      <c r="F814" s="558"/>
      <c r="G814" s="558"/>
      <c r="H814" s="558"/>
      <c r="I814" s="558"/>
      <c r="J814" s="558"/>
      <c r="K814" s="558"/>
      <c r="L814" s="558"/>
      <c r="M814" s="573"/>
      <c r="N814" s="558"/>
      <c r="O814" s="558"/>
      <c r="P814" s="558"/>
    </row>
    <row r="815" spans="3:16" x14ac:dyDescent="0.2">
      <c r="C815" s="558"/>
      <c r="D815" s="558"/>
      <c r="E815" s="558"/>
      <c r="F815" s="558"/>
      <c r="G815" s="558"/>
      <c r="H815" s="558"/>
      <c r="I815" s="558"/>
      <c r="J815" s="558"/>
      <c r="K815" s="558"/>
      <c r="L815" s="558"/>
      <c r="M815" s="573"/>
      <c r="N815" s="558"/>
      <c r="O815" s="558"/>
      <c r="P815" s="558"/>
    </row>
    <row r="816" spans="3:16" x14ac:dyDescent="0.2">
      <c r="C816" s="558"/>
      <c r="D816" s="558"/>
      <c r="E816" s="558"/>
      <c r="F816" s="558"/>
      <c r="G816" s="558"/>
      <c r="H816" s="558"/>
      <c r="I816" s="558"/>
      <c r="J816" s="558"/>
      <c r="K816" s="558"/>
      <c r="L816" s="558"/>
      <c r="M816" s="573"/>
      <c r="N816" s="558"/>
      <c r="O816" s="558"/>
      <c r="P816" s="558"/>
    </row>
    <row r="817" spans="3:16" x14ac:dyDescent="0.2">
      <c r="C817" s="558"/>
      <c r="D817" s="558"/>
      <c r="E817" s="558"/>
      <c r="F817" s="558"/>
      <c r="G817" s="558"/>
      <c r="H817" s="558"/>
      <c r="I817" s="558"/>
      <c r="J817" s="558"/>
      <c r="K817" s="558"/>
      <c r="L817" s="558"/>
      <c r="M817" s="573"/>
      <c r="N817" s="558"/>
      <c r="O817" s="558"/>
      <c r="P817" s="558"/>
    </row>
    <row r="818" spans="3:16" x14ac:dyDescent="0.2">
      <c r="C818" s="558"/>
      <c r="D818" s="558"/>
      <c r="E818" s="558"/>
      <c r="F818" s="558"/>
      <c r="G818" s="558"/>
      <c r="H818" s="558"/>
      <c r="I818" s="558"/>
      <c r="J818" s="558"/>
      <c r="K818" s="558"/>
      <c r="L818" s="558"/>
      <c r="M818" s="573"/>
      <c r="N818" s="558"/>
      <c r="O818" s="558"/>
      <c r="P818" s="558"/>
    </row>
    <row r="819" spans="3:16" x14ac:dyDescent="0.2">
      <c r="C819" s="558"/>
      <c r="D819" s="558"/>
      <c r="E819" s="558"/>
      <c r="F819" s="558"/>
      <c r="G819" s="558"/>
      <c r="H819" s="558"/>
      <c r="I819" s="558"/>
      <c r="J819" s="558"/>
      <c r="K819" s="558"/>
      <c r="L819" s="558"/>
      <c r="M819" s="573"/>
      <c r="N819" s="558"/>
      <c r="O819" s="558"/>
      <c r="P819" s="558"/>
    </row>
    <row r="820" spans="3:16" x14ac:dyDescent="0.2">
      <c r="C820" s="558"/>
      <c r="D820" s="558"/>
      <c r="E820" s="558"/>
      <c r="F820" s="558"/>
      <c r="G820" s="558"/>
      <c r="H820" s="558"/>
      <c r="I820" s="558"/>
      <c r="J820" s="558"/>
      <c r="K820" s="558"/>
      <c r="L820" s="558"/>
      <c r="M820" s="573"/>
      <c r="N820" s="558"/>
      <c r="O820" s="558"/>
      <c r="P820" s="558"/>
    </row>
    <row r="821" spans="3:16" x14ac:dyDescent="0.2">
      <c r="C821" s="558"/>
      <c r="D821" s="558"/>
      <c r="E821" s="558"/>
      <c r="F821" s="558"/>
      <c r="G821" s="558"/>
      <c r="H821" s="558"/>
      <c r="I821" s="558"/>
      <c r="J821" s="558"/>
      <c r="K821" s="558"/>
      <c r="L821" s="558"/>
      <c r="M821" s="573"/>
      <c r="N821" s="558"/>
      <c r="O821" s="558"/>
      <c r="P821" s="558"/>
    </row>
    <row r="822" spans="3:16" x14ac:dyDescent="0.2">
      <c r="C822" s="558"/>
      <c r="D822" s="558"/>
      <c r="E822" s="558"/>
      <c r="F822" s="558"/>
      <c r="G822" s="558"/>
      <c r="H822" s="558"/>
      <c r="I822" s="558"/>
      <c r="J822" s="558"/>
      <c r="K822" s="558"/>
      <c r="L822" s="558"/>
      <c r="M822" s="573"/>
      <c r="N822" s="558"/>
      <c r="O822" s="558"/>
      <c r="P822" s="558"/>
    </row>
    <row r="823" spans="3:16" x14ac:dyDescent="0.2">
      <c r="C823" s="558"/>
      <c r="D823" s="558"/>
      <c r="E823" s="558"/>
      <c r="F823" s="558"/>
      <c r="G823" s="558"/>
      <c r="H823" s="558"/>
      <c r="I823" s="558"/>
      <c r="J823" s="558"/>
      <c r="K823" s="558"/>
      <c r="L823" s="558"/>
      <c r="M823" s="573"/>
      <c r="N823" s="558"/>
      <c r="O823" s="558"/>
      <c r="P823" s="558"/>
    </row>
    <row r="824" spans="3:16" x14ac:dyDescent="0.2">
      <c r="C824" s="558"/>
      <c r="D824" s="558"/>
      <c r="E824" s="558"/>
      <c r="F824" s="558"/>
      <c r="G824" s="558"/>
      <c r="H824" s="558"/>
      <c r="I824" s="558"/>
      <c r="J824" s="558"/>
      <c r="K824" s="558"/>
      <c r="L824" s="558"/>
      <c r="M824" s="573"/>
      <c r="N824" s="558"/>
      <c r="O824" s="558"/>
      <c r="P824" s="558"/>
    </row>
    <row r="825" spans="3:16" x14ac:dyDescent="0.2">
      <c r="C825" s="558"/>
      <c r="D825" s="558"/>
      <c r="E825" s="558"/>
      <c r="F825" s="558"/>
      <c r="G825" s="558"/>
      <c r="H825" s="558"/>
      <c r="I825" s="558"/>
      <c r="J825" s="558"/>
      <c r="K825" s="558"/>
      <c r="L825" s="558"/>
      <c r="M825" s="573"/>
      <c r="N825" s="558"/>
      <c r="O825" s="558"/>
      <c r="P825" s="558"/>
    </row>
    <row r="826" spans="3:16" x14ac:dyDescent="0.2">
      <c r="C826" s="558"/>
      <c r="D826" s="558"/>
      <c r="E826" s="558"/>
      <c r="F826" s="558"/>
      <c r="G826" s="558"/>
      <c r="H826" s="558"/>
      <c r="I826" s="558"/>
      <c r="J826" s="558"/>
      <c r="K826" s="558"/>
      <c r="L826" s="558"/>
      <c r="M826" s="573"/>
      <c r="N826" s="558"/>
      <c r="O826" s="558"/>
      <c r="P826" s="558"/>
    </row>
    <row r="827" spans="3:16" x14ac:dyDescent="0.2">
      <c r="C827" s="558"/>
      <c r="D827" s="558"/>
      <c r="E827" s="558"/>
      <c r="F827" s="558"/>
      <c r="G827" s="558"/>
      <c r="H827" s="558"/>
      <c r="I827" s="558"/>
      <c r="J827" s="558"/>
      <c r="K827" s="558"/>
      <c r="L827" s="558"/>
      <c r="M827" s="573"/>
      <c r="N827" s="558"/>
      <c r="O827" s="558"/>
      <c r="P827" s="558"/>
    </row>
    <row r="828" spans="3:16" x14ac:dyDescent="0.2">
      <c r="C828" s="558"/>
      <c r="D828" s="558"/>
      <c r="E828" s="558"/>
      <c r="F828" s="558"/>
      <c r="G828" s="558"/>
      <c r="H828" s="558"/>
      <c r="I828" s="558"/>
      <c r="J828" s="558"/>
      <c r="K828" s="558"/>
      <c r="L828" s="558"/>
      <c r="M828" s="573"/>
      <c r="N828" s="558"/>
      <c r="O828" s="558"/>
      <c r="P828" s="558"/>
    </row>
    <row r="829" spans="3:16" x14ac:dyDescent="0.2">
      <c r="C829" s="558"/>
      <c r="D829" s="558"/>
      <c r="E829" s="558"/>
      <c r="F829" s="558"/>
      <c r="G829" s="558"/>
      <c r="H829" s="558"/>
      <c r="I829" s="558"/>
      <c r="J829" s="558"/>
      <c r="K829" s="558"/>
      <c r="L829" s="558"/>
      <c r="M829" s="573"/>
      <c r="N829" s="558"/>
      <c r="O829" s="558"/>
      <c r="P829" s="558"/>
    </row>
    <row r="830" spans="3:16" x14ac:dyDescent="0.2">
      <c r="C830" s="558"/>
      <c r="D830" s="558"/>
      <c r="E830" s="558"/>
      <c r="F830" s="558"/>
      <c r="G830" s="558"/>
      <c r="H830" s="558"/>
      <c r="I830" s="558"/>
      <c r="J830" s="558"/>
      <c r="K830" s="558"/>
      <c r="L830" s="558"/>
      <c r="M830" s="573"/>
      <c r="N830" s="558"/>
      <c r="O830" s="558"/>
      <c r="P830" s="558"/>
    </row>
    <row r="831" spans="3:16" x14ac:dyDescent="0.2">
      <c r="C831" s="558"/>
      <c r="D831" s="558"/>
      <c r="E831" s="558"/>
      <c r="F831" s="558"/>
      <c r="G831" s="558"/>
      <c r="H831" s="558"/>
      <c r="I831" s="558"/>
      <c r="J831" s="558"/>
      <c r="K831" s="558"/>
      <c r="L831" s="558"/>
      <c r="M831" s="573"/>
      <c r="N831" s="558"/>
      <c r="O831" s="558"/>
      <c r="P831" s="558"/>
    </row>
    <row r="832" spans="3:16" x14ac:dyDescent="0.2">
      <c r="C832" s="558"/>
      <c r="D832" s="558"/>
      <c r="E832" s="558"/>
      <c r="F832" s="558"/>
      <c r="G832" s="558"/>
      <c r="H832" s="558"/>
      <c r="I832" s="558"/>
      <c r="J832" s="558"/>
      <c r="K832" s="558"/>
      <c r="L832" s="558"/>
      <c r="M832" s="573"/>
      <c r="N832" s="558"/>
      <c r="O832" s="558"/>
      <c r="P832" s="558"/>
    </row>
    <row r="833" spans="3:16" x14ac:dyDescent="0.2">
      <c r="C833" s="558"/>
      <c r="D833" s="558"/>
      <c r="E833" s="558"/>
      <c r="F833" s="558"/>
      <c r="G833" s="558"/>
      <c r="H833" s="558"/>
      <c r="I833" s="558"/>
      <c r="J833" s="558"/>
      <c r="K833" s="558"/>
      <c r="L833" s="558"/>
      <c r="M833" s="573"/>
      <c r="N833" s="558"/>
      <c r="O833" s="558"/>
      <c r="P833" s="558"/>
    </row>
    <row r="834" spans="3:16" x14ac:dyDescent="0.2">
      <c r="C834" s="558"/>
      <c r="D834" s="558"/>
      <c r="E834" s="558"/>
      <c r="F834" s="558"/>
      <c r="G834" s="558"/>
      <c r="H834" s="558"/>
      <c r="I834" s="558"/>
      <c r="J834" s="558"/>
      <c r="K834" s="558"/>
      <c r="L834" s="558"/>
      <c r="M834" s="573"/>
      <c r="N834" s="558"/>
      <c r="O834" s="558"/>
      <c r="P834" s="558"/>
    </row>
    <row r="835" spans="3:16" x14ac:dyDescent="0.2">
      <c r="C835" s="558"/>
      <c r="D835" s="558"/>
      <c r="E835" s="558"/>
      <c r="F835" s="558"/>
      <c r="G835" s="558"/>
      <c r="H835" s="558"/>
      <c r="I835" s="558"/>
      <c r="J835" s="558"/>
      <c r="K835" s="558"/>
      <c r="L835" s="558"/>
      <c r="M835" s="573"/>
      <c r="N835" s="558"/>
      <c r="O835" s="558"/>
      <c r="P835" s="558"/>
    </row>
    <row r="836" spans="3:16" x14ac:dyDescent="0.2">
      <c r="C836" s="558"/>
      <c r="D836" s="558"/>
      <c r="E836" s="558"/>
      <c r="F836" s="558"/>
      <c r="G836" s="558"/>
      <c r="H836" s="558"/>
      <c r="I836" s="558"/>
      <c r="J836" s="558"/>
      <c r="K836" s="558"/>
      <c r="L836" s="558"/>
      <c r="M836" s="573"/>
      <c r="N836" s="558"/>
      <c r="O836" s="558"/>
      <c r="P836" s="558"/>
    </row>
    <row r="837" spans="3:16" x14ac:dyDescent="0.2">
      <c r="C837" s="558"/>
      <c r="D837" s="558"/>
      <c r="E837" s="558"/>
      <c r="F837" s="558"/>
      <c r="G837" s="558"/>
      <c r="H837" s="558"/>
      <c r="I837" s="558"/>
      <c r="J837" s="558"/>
      <c r="K837" s="558"/>
      <c r="L837" s="558"/>
      <c r="M837" s="573"/>
      <c r="N837" s="558"/>
      <c r="O837" s="558"/>
      <c r="P837" s="558"/>
    </row>
    <row r="838" spans="3:16" x14ac:dyDescent="0.2">
      <c r="C838" s="558"/>
      <c r="D838" s="558"/>
      <c r="E838" s="558"/>
      <c r="F838" s="558"/>
      <c r="G838" s="558"/>
      <c r="H838" s="558"/>
      <c r="I838" s="558"/>
      <c r="J838" s="558"/>
      <c r="K838" s="558"/>
      <c r="L838" s="558"/>
      <c r="M838" s="573"/>
      <c r="N838" s="558"/>
      <c r="O838" s="558"/>
      <c r="P838" s="558"/>
    </row>
    <row r="839" spans="3:16" x14ac:dyDescent="0.2">
      <c r="C839" s="558"/>
      <c r="D839" s="558"/>
      <c r="E839" s="558"/>
      <c r="F839" s="558"/>
      <c r="G839" s="558"/>
      <c r="H839" s="558"/>
      <c r="I839" s="558"/>
      <c r="J839" s="558"/>
      <c r="K839" s="558"/>
      <c r="L839" s="558"/>
      <c r="M839" s="573"/>
      <c r="N839" s="558"/>
      <c r="O839" s="558"/>
      <c r="P839" s="558"/>
    </row>
    <row r="840" spans="3:16" x14ac:dyDescent="0.2">
      <c r="C840" s="558"/>
      <c r="D840" s="558"/>
      <c r="E840" s="558"/>
      <c r="F840" s="558"/>
      <c r="G840" s="558"/>
      <c r="H840" s="558"/>
      <c r="I840" s="558"/>
      <c r="J840" s="558"/>
      <c r="K840" s="558"/>
      <c r="L840" s="558"/>
      <c r="M840" s="573"/>
      <c r="N840" s="558"/>
      <c r="O840" s="558"/>
      <c r="P840" s="558"/>
    </row>
    <row r="841" spans="3:16" x14ac:dyDescent="0.2">
      <c r="C841" s="558"/>
      <c r="D841" s="558"/>
      <c r="E841" s="558"/>
      <c r="F841" s="558"/>
      <c r="G841" s="558"/>
      <c r="H841" s="558"/>
      <c r="I841" s="558"/>
      <c r="J841" s="558"/>
      <c r="K841" s="558"/>
      <c r="L841" s="558"/>
      <c r="M841" s="573"/>
      <c r="N841" s="558"/>
      <c r="O841" s="558"/>
      <c r="P841" s="558"/>
    </row>
    <row r="842" spans="3:16" x14ac:dyDescent="0.2">
      <c r="C842" s="558"/>
      <c r="D842" s="558"/>
      <c r="E842" s="558"/>
      <c r="F842" s="558"/>
      <c r="G842" s="558"/>
      <c r="H842" s="558"/>
      <c r="I842" s="558"/>
      <c r="J842" s="558"/>
      <c r="K842" s="558"/>
      <c r="L842" s="558"/>
      <c r="M842" s="573"/>
      <c r="N842" s="558"/>
      <c r="O842" s="558"/>
      <c r="P842" s="558"/>
    </row>
    <row r="843" spans="3:16" x14ac:dyDescent="0.2">
      <c r="C843" s="558"/>
      <c r="D843" s="558"/>
      <c r="E843" s="558"/>
      <c r="F843" s="558"/>
      <c r="G843" s="558"/>
      <c r="H843" s="558"/>
      <c r="I843" s="558"/>
      <c r="J843" s="558"/>
      <c r="K843" s="558"/>
      <c r="L843" s="558"/>
      <c r="M843" s="573"/>
      <c r="N843" s="558"/>
      <c r="O843" s="558"/>
      <c r="P843" s="558"/>
    </row>
    <row r="844" spans="3:16" x14ac:dyDescent="0.2">
      <c r="C844" s="558"/>
      <c r="D844" s="558"/>
      <c r="E844" s="558"/>
      <c r="F844" s="558"/>
      <c r="G844" s="558"/>
      <c r="H844" s="558"/>
      <c r="I844" s="558"/>
      <c r="J844" s="558"/>
      <c r="K844" s="558"/>
      <c r="L844" s="558"/>
      <c r="M844" s="573"/>
      <c r="N844" s="558"/>
      <c r="O844" s="558"/>
      <c r="P844" s="558"/>
    </row>
    <row r="845" spans="3:16" x14ac:dyDescent="0.2">
      <c r="C845" s="558"/>
      <c r="D845" s="558"/>
      <c r="E845" s="558"/>
      <c r="F845" s="558"/>
      <c r="G845" s="558"/>
      <c r="H845" s="558"/>
      <c r="I845" s="558"/>
      <c r="J845" s="558"/>
      <c r="K845" s="558"/>
      <c r="L845" s="558"/>
      <c r="M845" s="573"/>
      <c r="N845" s="558"/>
      <c r="O845" s="558"/>
      <c r="P845" s="558"/>
    </row>
    <row r="846" spans="3:16" x14ac:dyDescent="0.2">
      <c r="C846" s="558"/>
      <c r="D846" s="558"/>
      <c r="E846" s="558"/>
      <c r="F846" s="558"/>
      <c r="G846" s="558"/>
      <c r="H846" s="558"/>
      <c r="I846" s="558"/>
      <c r="J846" s="558"/>
      <c r="K846" s="558"/>
      <c r="L846" s="558"/>
      <c r="M846" s="573"/>
      <c r="N846" s="558"/>
      <c r="O846" s="558"/>
      <c r="P846" s="558"/>
    </row>
    <row r="847" spans="3:16" x14ac:dyDescent="0.2">
      <c r="C847" s="558"/>
      <c r="D847" s="558"/>
      <c r="E847" s="558"/>
      <c r="F847" s="558"/>
      <c r="G847" s="558"/>
      <c r="H847" s="558"/>
      <c r="I847" s="558"/>
      <c r="J847" s="558"/>
      <c r="K847" s="558"/>
      <c r="L847" s="558"/>
      <c r="M847" s="573"/>
      <c r="N847" s="558"/>
      <c r="O847" s="558"/>
      <c r="P847" s="558"/>
    </row>
    <row r="848" spans="3:16" x14ac:dyDescent="0.2">
      <c r="C848" s="558"/>
      <c r="D848" s="558"/>
      <c r="E848" s="558"/>
      <c r="F848" s="558"/>
      <c r="G848" s="558"/>
      <c r="H848" s="558"/>
      <c r="I848" s="558"/>
      <c r="J848" s="558"/>
      <c r="K848" s="558"/>
      <c r="L848" s="558"/>
      <c r="M848" s="573"/>
      <c r="N848" s="558"/>
      <c r="O848" s="558"/>
      <c r="P848" s="558"/>
    </row>
    <row r="849" spans="3:16" x14ac:dyDescent="0.2">
      <c r="C849" s="558"/>
      <c r="D849" s="558"/>
      <c r="E849" s="558"/>
      <c r="F849" s="558"/>
      <c r="G849" s="558"/>
      <c r="H849" s="558"/>
      <c r="I849" s="558"/>
      <c r="J849" s="558"/>
      <c r="K849" s="558"/>
      <c r="L849" s="558"/>
      <c r="M849" s="573"/>
      <c r="N849" s="558"/>
      <c r="O849" s="558"/>
      <c r="P849" s="558"/>
    </row>
    <row r="850" spans="3:16" x14ac:dyDescent="0.2">
      <c r="C850" s="558"/>
      <c r="D850" s="558"/>
      <c r="E850" s="558"/>
      <c r="F850" s="558"/>
      <c r="G850" s="558"/>
      <c r="H850" s="558"/>
      <c r="I850" s="558"/>
      <c r="J850" s="558"/>
      <c r="K850" s="558"/>
      <c r="L850" s="558"/>
      <c r="M850" s="573"/>
      <c r="N850" s="558"/>
      <c r="O850" s="558"/>
      <c r="P850" s="558"/>
    </row>
    <row r="851" spans="3:16" x14ac:dyDescent="0.2">
      <c r="C851" s="558"/>
      <c r="D851" s="558"/>
      <c r="E851" s="558"/>
      <c r="F851" s="558"/>
      <c r="G851" s="558"/>
      <c r="H851" s="558"/>
      <c r="I851" s="558"/>
      <c r="J851" s="558"/>
      <c r="K851" s="558"/>
      <c r="L851" s="558"/>
      <c r="M851" s="573"/>
      <c r="N851" s="558"/>
      <c r="O851" s="558"/>
      <c r="P851" s="558"/>
    </row>
    <row r="852" spans="3:16" x14ac:dyDescent="0.2">
      <c r="C852" s="558"/>
      <c r="D852" s="558"/>
      <c r="E852" s="558"/>
      <c r="F852" s="558"/>
      <c r="G852" s="558"/>
      <c r="H852" s="558"/>
      <c r="I852" s="558"/>
      <c r="J852" s="558"/>
      <c r="K852" s="558"/>
      <c r="L852" s="558"/>
      <c r="M852" s="573"/>
      <c r="N852" s="558"/>
      <c r="O852" s="558"/>
      <c r="P852" s="558"/>
    </row>
    <row r="853" spans="3:16" x14ac:dyDescent="0.2">
      <c r="C853" s="558"/>
      <c r="D853" s="558"/>
      <c r="E853" s="558"/>
      <c r="F853" s="558"/>
      <c r="G853" s="558"/>
      <c r="H853" s="558"/>
      <c r="I853" s="558"/>
      <c r="J853" s="558"/>
      <c r="K853" s="558"/>
      <c r="L853" s="558"/>
      <c r="M853" s="573"/>
      <c r="N853" s="558"/>
      <c r="O853" s="558"/>
      <c r="P853" s="558"/>
    </row>
    <row r="854" spans="3:16" x14ac:dyDescent="0.2">
      <c r="C854" s="558"/>
      <c r="D854" s="558"/>
      <c r="E854" s="558"/>
      <c r="F854" s="558"/>
      <c r="G854" s="558"/>
      <c r="H854" s="558"/>
      <c r="I854" s="558"/>
      <c r="J854" s="558"/>
      <c r="K854" s="558"/>
      <c r="L854" s="558"/>
      <c r="M854" s="573"/>
      <c r="N854" s="558"/>
      <c r="O854" s="558"/>
      <c r="P854" s="558"/>
    </row>
    <row r="855" spans="3:16" x14ac:dyDescent="0.2">
      <c r="C855" s="558"/>
      <c r="D855" s="558"/>
      <c r="E855" s="558"/>
      <c r="F855" s="558"/>
      <c r="G855" s="558"/>
      <c r="H855" s="558"/>
      <c r="I855" s="558"/>
      <c r="J855" s="558"/>
      <c r="K855" s="558"/>
      <c r="L855" s="558"/>
      <c r="M855" s="573"/>
      <c r="N855" s="558"/>
      <c r="O855" s="558"/>
      <c r="P855" s="558"/>
    </row>
    <row r="856" spans="3:16" x14ac:dyDescent="0.2">
      <c r="C856" s="558"/>
      <c r="D856" s="558"/>
      <c r="E856" s="558"/>
      <c r="F856" s="558"/>
      <c r="G856" s="558"/>
      <c r="H856" s="558"/>
      <c r="I856" s="558"/>
      <c r="J856" s="558"/>
      <c r="K856" s="558"/>
      <c r="L856" s="558"/>
      <c r="M856" s="573"/>
      <c r="N856" s="558"/>
      <c r="O856" s="558"/>
      <c r="P856" s="558"/>
    </row>
    <row r="857" spans="3:16" x14ac:dyDescent="0.2">
      <c r="C857" s="558"/>
      <c r="D857" s="558"/>
      <c r="E857" s="558"/>
      <c r="F857" s="558"/>
      <c r="G857" s="558"/>
      <c r="H857" s="558"/>
      <c r="I857" s="558"/>
      <c r="J857" s="558"/>
      <c r="K857" s="558"/>
      <c r="L857" s="558"/>
      <c r="M857" s="573"/>
      <c r="N857" s="558"/>
      <c r="O857" s="558"/>
      <c r="P857" s="558"/>
    </row>
    <row r="858" spans="3:16" x14ac:dyDescent="0.2">
      <c r="C858" s="558"/>
      <c r="D858" s="558"/>
      <c r="E858" s="558"/>
      <c r="F858" s="558"/>
      <c r="G858" s="558"/>
      <c r="H858" s="558"/>
      <c r="I858" s="558"/>
      <c r="J858" s="558"/>
      <c r="K858" s="558"/>
      <c r="L858" s="558"/>
      <c r="M858" s="573"/>
      <c r="N858" s="558"/>
      <c r="O858" s="558"/>
      <c r="P858" s="558"/>
    </row>
    <row r="859" spans="3:16" x14ac:dyDescent="0.2">
      <c r="C859" s="558"/>
      <c r="D859" s="558"/>
      <c r="E859" s="558"/>
      <c r="F859" s="558"/>
      <c r="G859" s="558"/>
      <c r="H859" s="558"/>
      <c r="I859" s="558"/>
      <c r="J859" s="558"/>
      <c r="K859" s="558"/>
      <c r="L859" s="558"/>
      <c r="M859" s="573"/>
      <c r="N859" s="558"/>
      <c r="O859" s="558"/>
      <c r="P859" s="558"/>
    </row>
    <row r="860" spans="3:16" x14ac:dyDescent="0.2">
      <c r="C860" s="558"/>
      <c r="D860" s="558"/>
      <c r="E860" s="558"/>
      <c r="F860" s="558"/>
      <c r="G860" s="558"/>
      <c r="H860" s="558"/>
      <c r="I860" s="558"/>
      <c r="J860" s="558"/>
      <c r="K860" s="558"/>
      <c r="L860" s="558"/>
      <c r="M860" s="573"/>
      <c r="N860" s="558"/>
      <c r="O860" s="558"/>
      <c r="P860" s="558"/>
    </row>
    <row r="861" spans="3:16" x14ac:dyDescent="0.2">
      <c r="C861" s="558"/>
      <c r="D861" s="558"/>
      <c r="E861" s="558"/>
      <c r="F861" s="558"/>
      <c r="G861" s="558"/>
      <c r="H861" s="558"/>
      <c r="I861" s="558"/>
      <c r="J861" s="558"/>
      <c r="K861" s="558"/>
      <c r="L861" s="558"/>
      <c r="M861" s="573"/>
      <c r="N861" s="558"/>
      <c r="O861" s="558"/>
      <c r="P861" s="558"/>
    </row>
    <row r="862" spans="3:16" x14ac:dyDescent="0.2">
      <c r="C862" s="558"/>
      <c r="D862" s="558"/>
      <c r="E862" s="558"/>
      <c r="F862" s="558"/>
      <c r="G862" s="558"/>
      <c r="H862" s="558"/>
      <c r="I862" s="558"/>
      <c r="J862" s="558"/>
      <c r="K862" s="558"/>
      <c r="L862" s="558"/>
      <c r="M862" s="573"/>
      <c r="N862" s="558"/>
      <c r="O862" s="558"/>
      <c r="P862" s="558"/>
    </row>
    <row r="863" spans="3:16" x14ac:dyDescent="0.2">
      <c r="C863" s="558"/>
      <c r="D863" s="558"/>
      <c r="E863" s="558"/>
      <c r="F863" s="558"/>
      <c r="G863" s="558"/>
      <c r="H863" s="558"/>
      <c r="I863" s="558"/>
      <c r="J863" s="558"/>
      <c r="K863" s="558"/>
      <c r="L863" s="558"/>
      <c r="M863" s="573"/>
      <c r="N863" s="558"/>
      <c r="O863" s="558"/>
      <c r="P863" s="558"/>
    </row>
    <row r="864" spans="3:16" x14ac:dyDescent="0.2">
      <c r="C864" s="558"/>
      <c r="D864" s="558"/>
      <c r="E864" s="558"/>
      <c r="F864" s="558"/>
      <c r="G864" s="558"/>
      <c r="H864" s="558"/>
      <c r="I864" s="558"/>
      <c r="J864" s="558"/>
      <c r="K864" s="558"/>
      <c r="L864" s="558"/>
      <c r="M864" s="573"/>
      <c r="N864" s="558"/>
      <c r="O864" s="558"/>
      <c r="P864" s="558"/>
    </row>
    <row r="865" spans="3:16" x14ac:dyDescent="0.2">
      <c r="C865" s="558"/>
      <c r="D865" s="558"/>
      <c r="E865" s="558"/>
      <c r="F865" s="558"/>
      <c r="G865" s="558"/>
      <c r="H865" s="558"/>
      <c r="I865" s="558"/>
      <c r="J865" s="558"/>
      <c r="K865" s="558"/>
      <c r="L865" s="558"/>
      <c r="M865" s="573"/>
      <c r="N865" s="558"/>
      <c r="O865" s="558"/>
      <c r="P865" s="558"/>
    </row>
    <row r="866" spans="3:16" x14ac:dyDescent="0.2">
      <c r="C866" s="558"/>
      <c r="D866" s="558"/>
      <c r="E866" s="558"/>
      <c r="F866" s="558"/>
      <c r="G866" s="558"/>
      <c r="H866" s="558"/>
      <c r="I866" s="558"/>
      <c r="J866" s="558"/>
      <c r="K866" s="558"/>
      <c r="L866" s="558"/>
      <c r="M866" s="573"/>
      <c r="N866" s="558"/>
      <c r="O866" s="558"/>
      <c r="P866" s="558"/>
    </row>
    <row r="867" spans="3:16" x14ac:dyDescent="0.2">
      <c r="C867" s="558"/>
      <c r="D867" s="558"/>
      <c r="E867" s="558"/>
      <c r="F867" s="558"/>
      <c r="G867" s="558"/>
      <c r="H867" s="558"/>
      <c r="I867" s="558"/>
      <c r="J867" s="558"/>
      <c r="K867" s="558"/>
      <c r="L867" s="558"/>
      <c r="M867" s="573"/>
      <c r="N867" s="558"/>
      <c r="O867" s="558"/>
      <c r="P867" s="558"/>
    </row>
    <row r="868" spans="3:16" x14ac:dyDescent="0.2">
      <c r="C868" s="558"/>
      <c r="D868" s="558"/>
      <c r="E868" s="558"/>
      <c r="F868" s="558"/>
      <c r="G868" s="558"/>
      <c r="H868" s="558"/>
      <c r="I868" s="558"/>
      <c r="J868" s="558"/>
      <c r="K868" s="558"/>
      <c r="L868" s="558"/>
      <c r="M868" s="573"/>
      <c r="N868" s="558"/>
      <c r="O868" s="558"/>
      <c r="P868" s="558"/>
    </row>
    <row r="869" spans="3:16" x14ac:dyDescent="0.2">
      <c r="C869" s="558"/>
      <c r="D869" s="558"/>
      <c r="E869" s="558"/>
      <c r="F869" s="558"/>
      <c r="G869" s="558"/>
      <c r="H869" s="558"/>
      <c r="I869" s="558"/>
      <c r="J869" s="558"/>
      <c r="K869" s="558"/>
      <c r="L869" s="558"/>
      <c r="M869" s="573"/>
      <c r="N869" s="558"/>
      <c r="O869" s="558"/>
      <c r="P869" s="558"/>
    </row>
    <row r="870" spans="3:16" x14ac:dyDescent="0.2">
      <c r="C870" s="558"/>
      <c r="D870" s="558"/>
      <c r="E870" s="558"/>
      <c r="F870" s="558"/>
      <c r="G870" s="558"/>
      <c r="H870" s="558"/>
      <c r="I870" s="558"/>
      <c r="J870" s="558"/>
      <c r="K870" s="558"/>
      <c r="L870" s="558"/>
      <c r="M870" s="573"/>
      <c r="N870" s="558"/>
      <c r="O870" s="558"/>
      <c r="P870" s="558"/>
    </row>
    <row r="871" spans="3:16" x14ac:dyDescent="0.2">
      <c r="C871" s="558"/>
      <c r="D871" s="558"/>
      <c r="E871" s="558"/>
      <c r="F871" s="558"/>
      <c r="G871" s="558"/>
      <c r="H871" s="558"/>
      <c r="I871" s="558"/>
      <c r="J871" s="558"/>
      <c r="K871" s="558"/>
      <c r="L871" s="558"/>
      <c r="M871" s="573"/>
      <c r="N871" s="558"/>
      <c r="O871" s="558"/>
      <c r="P871" s="558"/>
    </row>
    <row r="872" spans="3:16" x14ac:dyDescent="0.2">
      <c r="C872" s="558"/>
      <c r="D872" s="558"/>
      <c r="E872" s="558"/>
      <c r="F872" s="558"/>
      <c r="G872" s="558"/>
      <c r="H872" s="558"/>
      <c r="I872" s="558"/>
      <c r="J872" s="558"/>
      <c r="K872" s="558"/>
      <c r="L872" s="558"/>
      <c r="M872" s="573"/>
      <c r="N872" s="558"/>
      <c r="O872" s="558"/>
      <c r="P872" s="558"/>
    </row>
    <row r="873" spans="3:16" x14ac:dyDescent="0.2">
      <c r="C873" s="558"/>
      <c r="D873" s="558"/>
      <c r="E873" s="558"/>
      <c r="F873" s="558"/>
      <c r="G873" s="558"/>
      <c r="H873" s="558"/>
      <c r="I873" s="558"/>
      <c r="J873" s="558"/>
      <c r="K873" s="558"/>
      <c r="L873" s="558"/>
      <c r="M873" s="573"/>
      <c r="N873" s="558"/>
      <c r="O873" s="558"/>
      <c r="P873" s="558"/>
    </row>
    <row r="874" spans="3:16" x14ac:dyDescent="0.2">
      <c r="C874" s="558"/>
      <c r="D874" s="558"/>
      <c r="E874" s="558"/>
      <c r="F874" s="558"/>
      <c r="G874" s="558"/>
      <c r="H874" s="558"/>
      <c r="I874" s="558"/>
      <c r="J874" s="558"/>
      <c r="K874" s="558"/>
      <c r="L874" s="558"/>
      <c r="M874" s="573"/>
      <c r="N874" s="558"/>
      <c r="O874" s="558"/>
      <c r="P874" s="558"/>
    </row>
    <row r="875" spans="3:16" x14ac:dyDescent="0.2">
      <c r="C875" s="558"/>
      <c r="D875" s="558"/>
      <c r="E875" s="558"/>
      <c r="F875" s="558"/>
      <c r="G875" s="558"/>
      <c r="H875" s="558"/>
      <c r="I875" s="558"/>
      <c r="J875" s="558"/>
      <c r="K875" s="558"/>
      <c r="L875" s="558"/>
      <c r="M875" s="573"/>
      <c r="N875" s="558"/>
      <c r="O875" s="558"/>
      <c r="P875" s="558"/>
    </row>
    <row r="876" spans="3:16" x14ac:dyDescent="0.2">
      <c r="C876" s="558"/>
      <c r="D876" s="558"/>
      <c r="E876" s="558"/>
      <c r="F876" s="558"/>
      <c r="G876" s="558"/>
      <c r="H876" s="558"/>
      <c r="I876" s="558"/>
      <c r="J876" s="558"/>
      <c r="K876" s="558"/>
      <c r="L876" s="558"/>
      <c r="M876" s="573"/>
      <c r="N876" s="558"/>
      <c r="O876" s="558"/>
      <c r="P876" s="558"/>
    </row>
    <row r="877" spans="3:16" x14ac:dyDescent="0.2">
      <c r="C877" s="558"/>
      <c r="D877" s="558"/>
      <c r="E877" s="558"/>
      <c r="F877" s="558"/>
      <c r="G877" s="558"/>
      <c r="H877" s="558"/>
      <c r="I877" s="558"/>
      <c r="J877" s="558"/>
      <c r="K877" s="558"/>
      <c r="L877" s="558"/>
      <c r="M877" s="573"/>
      <c r="N877" s="558"/>
      <c r="O877" s="558"/>
      <c r="P877" s="558"/>
    </row>
    <row r="878" spans="3:16" x14ac:dyDescent="0.2">
      <c r="C878" s="558"/>
      <c r="D878" s="558"/>
      <c r="E878" s="558"/>
      <c r="F878" s="558"/>
      <c r="G878" s="558"/>
      <c r="H878" s="558"/>
      <c r="I878" s="558"/>
      <c r="J878" s="558"/>
      <c r="K878" s="558"/>
      <c r="L878" s="558"/>
      <c r="M878" s="573"/>
      <c r="N878" s="558"/>
      <c r="O878" s="558"/>
      <c r="P878" s="558"/>
    </row>
    <row r="879" spans="3:16" x14ac:dyDescent="0.2">
      <c r="C879" s="558"/>
      <c r="D879" s="558"/>
      <c r="E879" s="558"/>
      <c r="F879" s="558"/>
      <c r="G879" s="558"/>
      <c r="H879" s="558"/>
      <c r="I879" s="558"/>
      <c r="J879" s="558"/>
      <c r="K879" s="558"/>
      <c r="L879" s="558"/>
      <c r="M879" s="573"/>
      <c r="N879" s="558"/>
      <c r="O879" s="558"/>
      <c r="P879" s="558"/>
    </row>
    <row r="880" spans="3:16" x14ac:dyDescent="0.2">
      <c r="C880" s="558"/>
      <c r="D880" s="558"/>
      <c r="E880" s="558"/>
      <c r="F880" s="558"/>
      <c r="G880" s="558"/>
      <c r="H880" s="558"/>
      <c r="I880" s="558"/>
      <c r="J880" s="558"/>
      <c r="K880" s="558"/>
      <c r="L880" s="558"/>
      <c r="M880" s="573"/>
      <c r="N880" s="558"/>
      <c r="O880" s="558"/>
      <c r="P880" s="558"/>
    </row>
    <row r="881" spans="3:16" x14ac:dyDescent="0.2">
      <c r="C881" s="558"/>
      <c r="D881" s="558"/>
      <c r="E881" s="558"/>
      <c r="F881" s="558"/>
      <c r="G881" s="558"/>
      <c r="H881" s="558"/>
      <c r="I881" s="558"/>
      <c r="J881" s="558"/>
      <c r="K881" s="558"/>
      <c r="L881" s="558"/>
      <c r="M881" s="573"/>
      <c r="N881" s="558"/>
      <c r="O881" s="558"/>
      <c r="P881" s="558"/>
    </row>
    <row r="882" spans="3:16" x14ac:dyDescent="0.2">
      <c r="C882" s="558"/>
      <c r="D882" s="558"/>
      <c r="E882" s="558"/>
      <c r="F882" s="558"/>
      <c r="G882" s="558"/>
      <c r="H882" s="558"/>
      <c r="I882" s="558"/>
      <c r="J882" s="558"/>
      <c r="K882" s="558"/>
      <c r="L882" s="558"/>
      <c r="M882" s="573"/>
      <c r="N882" s="558"/>
      <c r="O882" s="558"/>
      <c r="P882" s="558"/>
    </row>
    <row r="883" spans="3:16" x14ac:dyDescent="0.2">
      <c r="C883" s="558"/>
      <c r="D883" s="558"/>
      <c r="E883" s="558"/>
      <c r="F883" s="558"/>
      <c r="G883" s="558"/>
      <c r="H883" s="558"/>
      <c r="I883" s="558"/>
      <c r="J883" s="558"/>
      <c r="K883" s="558"/>
      <c r="L883" s="558"/>
      <c r="M883" s="573"/>
      <c r="N883" s="558"/>
      <c r="O883" s="558"/>
      <c r="P883" s="558"/>
    </row>
    <row r="884" spans="3:16" x14ac:dyDescent="0.2">
      <c r="C884" s="558"/>
      <c r="D884" s="558"/>
      <c r="E884" s="558"/>
      <c r="F884" s="558"/>
      <c r="G884" s="558"/>
      <c r="H884" s="558"/>
      <c r="I884" s="558"/>
      <c r="J884" s="558"/>
      <c r="K884" s="558"/>
      <c r="L884" s="558"/>
      <c r="M884" s="573"/>
      <c r="N884" s="558"/>
      <c r="O884" s="558"/>
      <c r="P884" s="558"/>
    </row>
    <row r="885" spans="3:16" x14ac:dyDescent="0.2">
      <c r="C885" s="558"/>
      <c r="D885" s="558"/>
      <c r="E885" s="558"/>
      <c r="F885" s="558"/>
      <c r="G885" s="558"/>
      <c r="H885" s="558"/>
      <c r="I885" s="558"/>
      <c r="J885" s="558"/>
      <c r="K885" s="558"/>
      <c r="L885" s="558"/>
      <c r="M885" s="573"/>
      <c r="N885" s="558"/>
      <c r="O885" s="558"/>
      <c r="P885" s="558"/>
    </row>
    <row r="886" spans="3:16" x14ac:dyDescent="0.2">
      <c r="C886" s="558"/>
      <c r="D886" s="558"/>
      <c r="E886" s="558"/>
      <c r="F886" s="558"/>
      <c r="G886" s="558"/>
      <c r="H886" s="558"/>
      <c r="I886" s="558"/>
      <c r="J886" s="558"/>
      <c r="K886" s="558"/>
      <c r="L886" s="558"/>
      <c r="M886" s="573"/>
      <c r="N886" s="558"/>
      <c r="O886" s="558"/>
      <c r="P886" s="558"/>
    </row>
    <row r="887" spans="3:16" x14ac:dyDescent="0.2">
      <c r="C887" s="558"/>
      <c r="D887" s="558"/>
      <c r="E887" s="558"/>
      <c r="F887" s="558"/>
      <c r="G887" s="558"/>
      <c r="H887" s="558"/>
      <c r="I887" s="558"/>
      <c r="J887" s="558"/>
      <c r="K887" s="558"/>
      <c r="L887" s="558"/>
      <c r="M887" s="573"/>
      <c r="N887" s="558"/>
      <c r="O887" s="558"/>
      <c r="P887" s="558"/>
    </row>
    <row r="888" spans="3:16" x14ac:dyDescent="0.2">
      <c r="C888" s="558"/>
      <c r="D888" s="558"/>
      <c r="E888" s="558"/>
      <c r="F888" s="558"/>
      <c r="G888" s="558"/>
      <c r="H888" s="558"/>
      <c r="I888" s="558"/>
      <c r="J888" s="558"/>
      <c r="K888" s="558"/>
      <c r="L888" s="558"/>
      <c r="M888" s="573"/>
      <c r="N888" s="558"/>
      <c r="O888" s="558"/>
      <c r="P888" s="558"/>
    </row>
    <row r="889" spans="3:16" x14ac:dyDescent="0.2">
      <c r="C889" s="558"/>
      <c r="D889" s="558"/>
      <c r="E889" s="558"/>
      <c r="F889" s="558"/>
      <c r="G889" s="558"/>
      <c r="H889" s="558"/>
      <c r="I889" s="558"/>
      <c r="J889" s="558"/>
      <c r="K889" s="558"/>
      <c r="L889" s="558"/>
      <c r="M889" s="573"/>
      <c r="N889" s="558"/>
      <c r="O889" s="558"/>
      <c r="P889" s="558"/>
    </row>
    <row r="890" spans="3:16" x14ac:dyDescent="0.2">
      <c r="C890" s="558"/>
      <c r="D890" s="558"/>
      <c r="E890" s="558"/>
      <c r="F890" s="558"/>
      <c r="G890" s="558"/>
      <c r="H890" s="558"/>
      <c r="I890" s="558"/>
      <c r="J890" s="558"/>
      <c r="K890" s="558"/>
      <c r="L890" s="558"/>
      <c r="M890" s="573"/>
      <c r="N890" s="558"/>
      <c r="O890" s="558"/>
      <c r="P890" s="558"/>
    </row>
    <row r="891" spans="3:16" x14ac:dyDescent="0.2">
      <c r="C891" s="558"/>
      <c r="D891" s="558"/>
      <c r="E891" s="558"/>
      <c r="F891" s="558"/>
      <c r="G891" s="558"/>
      <c r="H891" s="558"/>
      <c r="I891" s="558"/>
      <c r="J891" s="558"/>
      <c r="K891" s="558"/>
      <c r="L891" s="558"/>
      <c r="M891" s="573"/>
      <c r="N891" s="558"/>
      <c r="O891" s="558"/>
      <c r="P891" s="558"/>
    </row>
    <row r="892" spans="3:16" x14ac:dyDescent="0.2">
      <c r="C892" s="558"/>
      <c r="D892" s="558"/>
      <c r="E892" s="558"/>
      <c r="F892" s="558"/>
      <c r="G892" s="558"/>
      <c r="H892" s="558"/>
      <c r="I892" s="558"/>
      <c r="J892" s="558"/>
      <c r="K892" s="558"/>
      <c r="L892" s="558"/>
      <c r="M892" s="573"/>
      <c r="N892" s="558"/>
      <c r="O892" s="558"/>
      <c r="P892" s="558"/>
    </row>
    <row r="893" spans="3:16" x14ac:dyDescent="0.2">
      <c r="C893" s="558"/>
      <c r="D893" s="558"/>
      <c r="E893" s="558"/>
      <c r="F893" s="558"/>
      <c r="G893" s="558"/>
      <c r="H893" s="558"/>
      <c r="I893" s="558"/>
      <c r="J893" s="558"/>
      <c r="K893" s="558"/>
      <c r="L893" s="558"/>
      <c r="M893" s="573"/>
      <c r="N893" s="558"/>
      <c r="O893" s="558"/>
      <c r="P893" s="558"/>
    </row>
    <row r="894" spans="3:16" x14ac:dyDescent="0.2">
      <c r="C894" s="558"/>
      <c r="D894" s="558"/>
      <c r="E894" s="558"/>
      <c r="F894" s="558"/>
      <c r="G894" s="558"/>
      <c r="H894" s="558"/>
      <c r="I894" s="558"/>
      <c r="J894" s="558"/>
      <c r="K894" s="558"/>
      <c r="L894" s="558"/>
      <c r="M894" s="573"/>
      <c r="N894" s="558"/>
      <c r="O894" s="558"/>
      <c r="P894" s="558"/>
    </row>
    <row r="895" spans="3:16" x14ac:dyDescent="0.2">
      <c r="C895" s="558"/>
      <c r="D895" s="558"/>
      <c r="E895" s="558"/>
      <c r="F895" s="558"/>
      <c r="G895" s="558"/>
      <c r="H895" s="558"/>
      <c r="I895" s="558"/>
      <c r="J895" s="558"/>
      <c r="K895" s="558"/>
      <c r="L895" s="558"/>
      <c r="M895" s="573"/>
      <c r="N895" s="558"/>
      <c r="O895" s="558"/>
      <c r="P895" s="558"/>
    </row>
    <row r="896" spans="3:16" x14ac:dyDescent="0.2">
      <c r="C896" s="558"/>
      <c r="D896" s="558"/>
      <c r="E896" s="558"/>
      <c r="F896" s="558"/>
      <c r="G896" s="558"/>
      <c r="H896" s="558"/>
      <c r="I896" s="558"/>
      <c r="J896" s="558"/>
      <c r="K896" s="558"/>
      <c r="L896" s="558"/>
      <c r="M896" s="573"/>
      <c r="N896" s="558"/>
      <c r="O896" s="558"/>
      <c r="P896" s="558"/>
    </row>
    <row r="897" spans="3:16" x14ac:dyDescent="0.2">
      <c r="C897" s="558"/>
      <c r="D897" s="558"/>
      <c r="E897" s="558"/>
      <c r="F897" s="558"/>
      <c r="G897" s="558"/>
      <c r="H897" s="558"/>
      <c r="I897" s="558"/>
      <c r="J897" s="558"/>
      <c r="K897" s="558"/>
      <c r="L897" s="558"/>
      <c r="M897" s="573"/>
      <c r="N897" s="558"/>
      <c r="O897" s="558"/>
      <c r="P897" s="558"/>
    </row>
    <row r="898" spans="3:16" x14ac:dyDescent="0.2">
      <c r="C898" s="558"/>
      <c r="D898" s="558"/>
      <c r="E898" s="558"/>
      <c r="F898" s="558"/>
      <c r="G898" s="558"/>
      <c r="H898" s="558"/>
      <c r="I898" s="558"/>
      <c r="J898" s="558"/>
      <c r="K898" s="558"/>
      <c r="L898" s="558"/>
      <c r="M898" s="573"/>
      <c r="N898" s="558"/>
      <c r="O898" s="558"/>
      <c r="P898" s="558"/>
    </row>
    <row r="899" spans="3:16" x14ac:dyDescent="0.2">
      <c r="C899" s="558"/>
      <c r="D899" s="558"/>
      <c r="E899" s="558"/>
      <c r="F899" s="558"/>
      <c r="G899" s="558"/>
      <c r="H899" s="558"/>
      <c r="I899" s="558"/>
      <c r="J899" s="558"/>
      <c r="K899" s="558"/>
      <c r="L899" s="558"/>
      <c r="M899" s="573"/>
      <c r="N899" s="558"/>
      <c r="O899" s="558"/>
      <c r="P899" s="558"/>
    </row>
    <row r="900" spans="3:16" x14ac:dyDescent="0.2">
      <c r="C900" s="558"/>
      <c r="D900" s="558"/>
      <c r="E900" s="558"/>
      <c r="F900" s="558"/>
      <c r="G900" s="558"/>
      <c r="H900" s="558"/>
      <c r="I900" s="558"/>
      <c r="J900" s="558"/>
      <c r="K900" s="558"/>
      <c r="L900" s="558"/>
      <c r="M900" s="573"/>
      <c r="N900" s="558"/>
      <c r="O900" s="558"/>
      <c r="P900" s="558"/>
    </row>
    <row r="901" spans="3:16" x14ac:dyDescent="0.2">
      <c r="C901" s="558"/>
      <c r="D901" s="558"/>
      <c r="E901" s="558"/>
      <c r="F901" s="558"/>
      <c r="G901" s="558"/>
      <c r="H901" s="558"/>
      <c r="I901" s="558"/>
      <c r="J901" s="558"/>
      <c r="K901" s="558"/>
      <c r="L901" s="558"/>
      <c r="M901" s="573"/>
      <c r="N901" s="558"/>
      <c r="O901" s="558"/>
      <c r="P901" s="558"/>
    </row>
    <row r="902" spans="3:16" x14ac:dyDescent="0.2">
      <c r="C902" s="558"/>
      <c r="D902" s="558"/>
      <c r="E902" s="558"/>
      <c r="F902" s="558"/>
      <c r="G902" s="558"/>
      <c r="H902" s="558"/>
      <c r="I902" s="558"/>
      <c r="J902" s="558"/>
      <c r="K902" s="558"/>
      <c r="L902" s="558"/>
      <c r="M902" s="573"/>
      <c r="N902" s="558"/>
      <c r="O902" s="558"/>
      <c r="P902" s="558"/>
    </row>
    <row r="903" spans="3:16" x14ac:dyDescent="0.2">
      <c r="C903" s="558"/>
      <c r="D903" s="558"/>
      <c r="E903" s="558"/>
      <c r="F903" s="558"/>
      <c r="G903" s="558"/>
      <c r="H903" s="558"/>
      <c r="I903" s="558"/>
      <c r="J903" s="558"/>
      <c r="K903" s="558"/>
      <c r="L903" s="558"/>
      <c r="M903" s="573"/>
      <c r="N903" s="558"/>
      <c r="O903" s="558"/>
      <c r="P903" s="558"/>
    </row>
    <row r="904" spans="3:16" x14ac:dyDescent="0.2">
      <c r="C904" s="558"/>
      <c r="D904" s="558"/>
      <c r="E904" s="558"/>
      <c r="F904" s="558"/>
      <c r="G904" s="558"/>
      <c r="H904" s="558"/>
      <c r="I904" s="558"/>
      <c r="J904" s="558"/>
      <c r="K904" s="558"/>
      <c r="L904" s="558"/>
      <c r="M904" s="573"/>
      <c r="N904" s="558"/>
      <c r="O904" s="558"/>
      <c r="P904" s="558"/>
    </row>
    <row r="905" spans="3:16" x14ac:dyDescent="0.2">
      <c r="C905" s="558"/>
      <c r="D905" s="558"/>
      <c r="E905" s="558"/>
      <c r="F905" s="558"/>
      <c r="G905" s="558"/>
      <c r="H905" s="558"/>
      <c r="I905" s="558"/>
      <c r="J905" s="558"/>
      <c r="K905" s="558"/>
      <c r="L905" s="558"/>
      <c r="M905" s="573"/>
      <c r="N905" s="558"/>
      <c r="O905" s="558"/>
      <c r="P905" s="558"/>
    </row>
    <row r="906" spans="3:16" x14ac:dyDescent="0.2">
      <c r="C906" s="558"/>
      <c r="D906" s="558"/>
      <c r="E906" s="558"/>
      <c r="F906" s="558"/>
      <c r="G906" s="558"/>
      <c r="H906" s="558"/>
      <c r="I906" s="558"/>
      <c r="J906" s="558"/>
      <c r="K906" s="558"/>
      <c r="L906" s="558"/>
      <c r="M906" s="573"/>
      <c r="N906" s="558"/>
      <c r="O906" s="558"/>
      <c r="P906" s="558"/>
    </row>
    <row r="907" spans="3:16" x14ac:dyDescent="0.2">
      <c r="C907" s="558"/>
      <c r="D907" s="558"/>
      <c r="E907" s="558"/>
      <c r="F907" s="558"/>
      <c r="G907" s="558"/>
      <c r="H907" s="558"/>
      <c r="I907" s="558"/>
      <c r="J907" s="558"/>
      <c r="K907" s="558"/>
      <c r="L907" s="558"/>
      <c r="M907" s="573"/>
      <c r="N907" s="558"/>
      <c r="O907" s="558"/>
      <c r="P907" s="558"/>
    </row>
    <row r="908" spans="3:16" x14ac:dyDescent="0.2">
      <c r="C908" s="558"/>
      <c r="D908" s="558"/>
      <c r="E908" s="558"/>
      <c r="F908" s="558"/>
      <c r="G908" s="558"/>
      <c r="H908" s="558"/>
      <c r="I908" s="558"/>
      <c r="J908" s="558"/>
      <c r="K908" s="558"/>
      <c r="L908" s="558"/>
      <c r="M908" s="573"/>
      <c r="N908" s="558"/>
      <c r="O908" s="558"/>
      <c r="P908" s="558"/>
    </row>
    <row r="909" spans="3:16" x14ac:dyDescent="0.2">
      <c r="C909" s="558"/>
      <c r="D909" s="558"/>
      <c r="E909" s="558"/>
      <c r="F909" s="558"/>
      <c r="G909" s="558"/>
      <c r="H909" s="558"/>
      <c r="I909" s="558"/>
      <c r="J909" s="558"/>
      <c r="K909" s="558"/>
      <c r="L909" s="558"/>
      <c r="M909" s="573"/>
      <c r="N909" s="558"/>
      <c r="O909" s="558"/>
      <c r="P909" s="558"/>
    </row>
    <row r="910" spans="3:16" x14ac:dyDescent="0.2">
      <c r="C910" s="558"/>
      <c r="D910" s="558"/>
      <c r="E910" s="558"/>
      <c r="F910" s="558"/>
      <c r="G910" s="558"/>
      <c r="H910" s="558"/>
      <c r="I910" s="558"/>
      <c r="J910" s="558"/>
      <c r="K910" s="558"/>
      <c r="L910" s="558"/>
      <c r="M910" s="573"/>
      <c r="N910" s="558"/>
      <c r="O910" s="558"/>
      <c r="P910" s="558"/>
    </row>
    <row r="911" spans="3:16" x14ac:dyDescent="0.2">
      <c r="C911" s="558"/>
      <c r="D911" s="558"/>
      <c r="E911" s="558"/>
      <c r="F911" s="558"/>
      <c r="G911" s="558"/>
      <c r="H911" s="558"/>
      <c r="I911" s="558"/>
      <c r="J911" s="558"/>
      <c r="K911" s="558"/>
      <c r="L911" s="558"/>
      <c r="M911" s="573"/>
      <c r="N911" s="558"/>
      <c r="O911" s="558"/>
      <c r="P911" s="558"/>
    </row>
    <row r="912" spans="3:16" x14ac:dyDescent="0.2">
      <c r="C912" s="558"/>
      <c r="D912" s="558"/>
      <c r="E912" s="558"/>
      <c r="F912" s="558"/>
      <c r="G912" s="558"/>
      <c r="H912" s="558"/>
      <c r="I912" s="558"/>
      <c r="J912" s="558"/>
      <c r="K912" s="558"/>
      <c r="L912" s="558"/>
      <c r="M912" s="573"/>
      <c r="N912" s="558"/>
      <c r="O912" s="558"/>
      <c r="P912" s="558"/>
    </row>
    <row r="913" spans="3:16" x14ac:dyDescent="0.2">
      <c r="C913" s="558"/>
      <c r="D913" s="558"/>
      <c r="E913" s="558"/>
      <c r="F913" s="558"/>
      <c r="G913" s="558"/>
      <c r="H913" s="558"/>
      <c r="I913" s="558"/>
      <c r="J913" s="558"/>
      <c r="K913" s="558"/>
      <c r="L913" s="558"/>
      <c r="M913" s="573"/>
      <c r="N913" s="558"/>
      <c r="O913" s="558"/>
      <c r="P913" s="558"/>
    </row>
    <row r="914" spans="3:16" x14ac:dyDescent="0.2">
      <c r="C914" s="558"/>
      <c r="D914" s="558"/>
      <c r="E914" s="558"/>
      <c r="F914" s="558"/>
      <c r="G914" s="558"/>
      <c r="H914" s="558"/>
      <c r="I914" s="558"/>
      <c r="J914" s="558"/>
      <c r="K914" s="558"/>
      <c r="L914" s="558"/>
      <c r="M914" s="573"/>
      <c r="N914" s="558"/>
      <c r="O914" s="558"/>
      <c r="P914" s="558"/>
    </row>
    <row r="915" spans="3:16" x14ac:dyDescent="0.2">
      <c r="C915" s="558"/>
      <c r="D915" s="558"/>
      <c r="E915" s="558"/>
      <c r="F915" s="558"/>
      <c r="G915" s="558"/>
      <c r="H915" s="558"/>
      <c r="I915" s="558"/>
      <c r="J915" s="558"/>
      <c r="K915" s="558"/>
      <c r="L915" s="558"/>
      <c r="M915" s="573"/>
      <c r="N915" s="558"/>
      <c r="O915" s="558"/>
      <c r="P915" s="558"/>
    </row>
    <row r="916" spans="3:16" x14ac:dyDescent="0.2">
      <c r="C916" s="558"/>
      <c r="D916" s="558"/>
      <c r="E916" s="558"/>
      <c r="F916" s="558"/>
      <c r="G916" s="558"/>
      <c r="H916" s="558"/>
      <c r="I916" s="558"/>
      <c r="J916" s="558"/>
      <c r="K916" s="558"/>
      <c r="L916" s="558"/>
      <c r="M916" s="573"/>
      <c r="N916" s="558"/>
      <c r="O916" s="558"/>
      <c r="P916" s="558"/>
    </row>
    <row r="917" spans="3:16" x14ac:dyDescent="0.2">
      <c r="C917" s="558"/>
      <c r="D917" s="558"/>
      <c r="E917" s="558"/>
      <c r="F917" s="558"/>
      <c r="G917" s="558"/>
      <c r="H917" s="558"/>
      <c r="I917" s="558"/>
      <c r="J917" s="558"/>
      <c r="K917" s="558"/>
      <c r="L917" s="558"/>
      <c r="M917" s="573"/>
      <c r="N917" s="558"/>
      <c r="O917" s="558"/>
      <c r="P917" s="558"/>
    </row>
    <row r="918" spans="3:16" x14ac:dyDescent="0.2">
      <c r="C918" s="558"/>
      <c r="D918" s="558"/>
      <c r="E918" s="558"/>
      <c r="F918" s="558"/>
      <c r="G918" s="558"/>
      <c r="H918" s="558"/>
      <c r="I918" s="558"/>
      <c r="J918" s="558"/>
      <c r="K918" s="558"/>
      <c r="L918" s="558"/>
      <c r="M918" s="573"/>
      <c r="N918" s="558"/>
      <c r="O918" s="558"/>
      <c r="P918" s="558"/>
    </row>
    <row r="919" spans="3:16" x14ac:dyDescent="0.2">
      <c r="C919" s="558"/>
      <c r="D919" s="558"/>
      <c r="E919" s="558"/>
      <c r="F919" s="558"/>
      <c r="G919" s="558"/>
      <c r="H919" s="558"/>
      <c r="I919" s="558"/>
      <c r="J919" s="558"/>
      <c r="K919" s="558"/>
      <c r="L919" s="558"/>
      <c r="M919" s="573"/>
      <c r="N919" s="558"/>
      <c r="O919" s="558"/>
      <c r="P919" s="558"/>
    </row>
    <row r="920" spans="3:16" x14ac:dyDescent="0.2">
      <c r="C920" s="558"/>
      <c r="D920" s="558"/>
      <c r="E920" s="558"/>
      <c r="F920" s="558"/>
      <c r="G920" s="558"/>
      <c r="H920" s="558"/>
      <c r="I920" s="558"/>
      <c r="J920" s="558"/>
      <c r="K920" s="558"/>
      <c r="L920" s="558"/>
      <c r="M920" s="573"/>
      <c r="N920" s="558"/>
      <c r="O920" s="558"/>
      <c r="P920" s="558"/>
    </row>
    <row r="921" spans="3:16" x14ac:dyDescent="0.2">
      <c r="C921" s="558"/>
      <c r="D921" s="558"/>
      <c r="E921" s="558"/>
      <c r="F921" s="558"/>
      <c r="G921" s="558"/>
      <c r="H921" s="558"/>
      <c r="I921" s="558"/>
      <c r="J921" s="558"/>
      <c r="K921" s="558"/>
      <c r="L921" s="558"/>
      <c r="M921" s="573"/>
      <c r="N921" s="558"/>
      <c r="O921" s="558"/>
      <c r="P921" s="558"/>
    </row>
    <row r="922" spans="3:16" x14ac:dyDescent="0.2">
      <c r="C922" s="558"/>
      <c r="D922" s="558"/>
      <c r="E922" s="558"/>
      <c r="F922" s="558"/>
      <c r="G922" s="558"/>
      <c r="H922" s="558"/>
      <c r="I922" s="558"/>
      <c r="J922" s="558"/>
      <c r="K922" s="558"/>
      <c r="L922" s="558"/>
      <c r="M922" s="573"/>
      <c r="N922" s="558"/>
      <c r="O922" s="558"/>
      <c r="P922" s="558"/>
    </row>
    <row r="923" spans="3:16" x14ac:dyDescent="0.2">
      <c r="C923" s="558"/>
      <c r="D923" s="558"/>
      <c r="E923" s="558"/>
      <c r="F923" s="558"/>
      <c r="G923" s="558"/>
      <c r="H923" s="558"/>
      <c r="I923" s="558"/>
      <c r="J923" s="558"/>
      <c r="K923" s="558"/>
      <c r="L923" s="558"/>
      <c r="M923" s="573"/>
      <c r="N923" s="558"/>
      <c r="O923" s="558"/>
      <c r="P923" s="558"/>
    </row>
    <row r="924" spans="3:16" x14ac:dyDescent="0.2">
      <c r="C924" s="558"/>
      <c r="D924" s="558"/>
      <c r="E924" s="558"/>
      <c r="F924" s="558"/>
      <c r="G924" s="558"/>
      <c r="H924" s="558"/>
      <c r="I924" s="558"/>
      <c r="J924" s="558"/>
      <c r="K924" s="558"/>
      <c r="L924" s="558"/>
      <c r="M924" s="573"/>
      <c r="N924" s="558"/>
      <c r="O924" s="558"/>
      <c r="P924" s="558"/>
    </row>
    <row r="925" spans="3:16" x14ac:dyDescent="0.2">
      <c r="C925" s="558"/>
      <c r="D925" s="558"/>
      <c r="E925" s="558"/>
      <c r="F925" s="558"/>
      <c r="G925" s="558"/>
      <c r="H925" s="558"/>
      <c r="I925" s="558"/>
      <c r="J925" s="558"/>
      <c r="K925" s="558"/>
      <c r="L925" s="558"/>
      <c r="M925" s="573"/>
      <c r="N925" s="558"/>
      <c r="O925" s="558"/>
      <c r="P925" s="558"/>
    </row>
    <row r="926" spans="3:16" x14ac:dyDescent="0.2">
      <c r="C926" s="558"/>
      <c r="D926" s="558"/>
      <c r="E926" s="558"/>
      <c r="F926" s="558"/>
      <c r="G926" s="558"/>
      <c r="H926" s="558"/>
      <c r="I926" s="558"/>
      <c r="J926" s="558"/>
      <c r="K926" s="558"/>
      <c r="L926" s="558"/>
      <c r="M926" s="573"/>
      <c r="N926" s="558"/>
      <c r="O926" s="558"/>
      <c r="P926" s="558"/>
    </row>
    <row r="927" spans="3:16" x14ac:dyDescent="0.2">
      <c r="C927" s="558"/>
      <c r="D927" s="558"/>
      <c r="E927" s="558"/>
      <c r="F927" s="558"/>
      <c r="G927" s="558"/>
      <c r="H927" s="558"/>
      <c r="I927" s="558"/>
      <c r="J927" s="558"/>
      <c r="K927" s="558"/>
      <c r="L927" s="558"/>
      <c r="M927" s="573"/>
      <c r="N927" s="558"/>
      <c r="O927" s="558"/>
      <c r="P927" s="558"/>
    </row>
    <row r="928" spans="3:16" x14ac:dyDescent="0.2">
      <c r="C928" s="558"/>
      <c r="D928" s="558"/>
      <c r="E928" s="558"/>
      <c r="F928" s="558"/>
      <c r="G928" s="558"/>
      <c r="H928" s="558"/>
      <c r="I928" s="558"/>
      <c r="J928" s="558"/>
      <c r="K928" s="558"/>
      <c r="L928" s="558"/>
      <c r="M928" s="573"/>
      <c r="N928" s="558"/>
      <c r="O928" s="558"/>
      <c r="P928" s="558"/>
    </row>
    <row r="929" spans="3:16" x14ac:dyDescent="0.2">
      <c r="C929" s="558"/>
      <c r="D929" s="558"/>
      <c r="E929" s="558"/>
      <c r="F929" s="558"/>
      <c r="G929" s="558"/>
      <c r="H929" s="558"/>
      <c r="I929" s="558"/>
      <c r="J929" s="558"/>
      <c r="K929" s="558"/>
      <c r="L929" s="558"/>
      <c r="M929" s="573"/>
      <c r="N929" s="558"/>
      <c r="O929" s="558"/>
      <c r="P929" s="558"/>
    </row>
    <row r="930" spans="3:16" x14ac:dyDescent="0.2">
      <c r="C930" s="558"/>
      <c r="D930" s="558"/>
      <c r="E930" s="558"/>
      <c r="F930" s="558"/>
      <c r="G930" s="558"/>
      <c r="H930" s="558"/>
      <c r="I930" s="558"/>
      <c r="J930" s="558"/>
      <c r="K930" s="558"/>
      <c r="L930" s="558"/>
      <c r="M930" s="573"/>
      <c r="N930" s="558"/>
      <c r="O930" s="558"/>
      <c r="P930" s="558"/>
    </row>
    <row r="931" spans="3:16" x14ac:dyDescent="0.2">
      <c r="C931" s="558"/>
      <c r="D931" s="558"/>
      <c r="E931" s="558"/>
      <c r="F931" s="558"/>
      <c r="G931" s="558"/>
      <c r="H931" s="558"/>
      <c r="I931" s="558"/>
      <c r="J931" s="558"/>
      <c r="K931" s="558"/>
      <c r="L931" s="558"/>
      <c r="M931" s="573"/>
      <c r="N931" s="558"/>
      <c r="O931" s="558"/>
      <c r="P931" s="558"/>
    </row>
    <row r="932" spans="3:16" x14ac:dyDescent="0.2">
      <c r="C932" s="558"/>
      <c r="D932" s="558"/>
      <c r="E932" s="558"/>
      <c r="F932" s="558"/>
      <c r="G932" s="558"/>
      <c r="H932" s="558"/>
      <c r="I932" s="558"/>
      <c r="J932" s="558"/>
      <c r="K932" s="558"/>
      <c r="L932" s="558"/>
      <c r="M932" s="573"/>
      <c r="N932" s="558"/>
      <c r="O932" s="558"/>
      <c r="P932" s="558"/>
    </row>
    <row r="933" spans="3:16" x14ac:dyDescent="0.2">
      <c r="C933" s="558"/>
      <c r="D933" s="558"/>
      <c r="E933" s="558"/>
      <c r="F933" s="558"/>
      <c r="G933" s="558"/>
      <c r="H933" s="558"/>
      <c r="I933" s="558"/>
      <c r="J933" s="558"/>
      <c r="K933" s="558"/>
      <c r="L933" s="558"/>
      <c r="M933" s="573"/>
      <c r="N933" s="558"/>
      <c r="O933" s="558"/>
      <c r="P933" s="558"/>
    </row>
    <row r="934" spans="3:16" x14ac:dyDescent="0.2">
      <c r="C934" s="558"/>
      <c r="D934" s="558"/>
      <c r="E934" s="558"/>
      <c r="F934" s="558"/>
      <c r="G934" s="558"/>
      <c r="H934" s="558"/>
      <c r="I934" s="558"/>
      <c r="J934" s="558"/>
      <c r="K934" s="558"/>
      <c r="L934" s="558"/>
      <c r="M934" s="573"/>
      <c r="N934" s="558"/>
      <c r="O934" s="558"/>
      <c r="P934" s="558"/>
    </row>
    <row r="935" spans="3:16" x14ac:dyDescent="0.2">
      <c r="C935" s="558"/>
      <c r="D935" s="558"/>
      <c r="E935" s="558"/>
      <c r="F935" s="558"/>
      <c r="G935" s="558"/>
      <c r="H935" s="558"/>
      <c r="I935" s="558"/>
      <c r="J935" s="558"/>
      <c r="K935" s="558"/>
      <c r="L935" s="558"/>
      <c r="M935" s="573"/>
      <c r="N935" s="558"/>
      <c r="O935" s="558"/>
      <c r="P935" s="558"/>
    </row>
    <row r="936" spans="3:16" x14ac:dyDescent="0.2">
      <c r="C936" s="558"/>
      <c r="D936" s="558"/>
      <c r="E936" s="558"/>
      <c r="F936" s="558"/>
      <c r="G936" s="558"/>
      <c r="H936" s="558"/>
      <c r="I936" s="558"/>
      <c r="J936" s="558"/>
      <c r="K936" s="558"/>
      <c r="L936" s="558"/>
      <c r="M936" s="573"/>
      <c r="N936" s="558"/>
      <c r="O936" s="558"/>
      <c r="P936" s="558"/>
    </row>
    <row r="937" spans="3:16" x14ac:dyDescent="0.2">
      <c r="C937" s="558"/>
      <c r="D937" s="558"/>
      <c r="E937" s="558"/>
      <c r="F937" s="558"/>
      <c r="G937" s="558"/>
      <c r="H937" s="558"/>
      <c r="I937" s="558"/>
      <c r="J937" s="558"/>
      <c r="K937" s="558"/>
      <c r="L937" s="558"/>
      <c r="M937" s="573"/>
      <c r="N937" s="558"/>
      <c r="O937" s="558"/>
      <c r="P937" s="558"/>
    </row>
    <row r="938" spans="3:16" x14ac:dyDescent="0.2">
      <c r="C938" s="558"/>
      <c r="D938" s="558"/>
      <c r="E938" s="558"/>
      <c r="F938" s="558"/>
      <c r="G938" s="558"/>
      <c r="H938" s="558"/>
      <c r="I938" s="558"/>
      <c r="J938" s="558"/>
      <c r="K938" s="558"/>
      <c r="L938" s="558"/>
      <c r="M938" s="573"/>
      <c r="N938" s="558"/>
      <c r="O938" s="558"/>
      <c r="P938" s="558"/>
    </row>
    <row r="939" spans="3:16" x14ac:dyDescent="0.2">
      <c r="C939" s="558"/>
      <c r="D939" s="558"/>
      <c r="E939" s="558"/>
      <c r="F939" s="558"/>
      <c r="G939" s="558"/>
      <c r="H939" s="558"/>
      <c r="I939" s="558"/>
      <c r="J939" s="558"/>
      <c r="K939" s="558"/>
      <c r="L939" s="558"/>
      <c r="M939" s="573"/>
      <c r="N939" s="558"/>
      <c r="O939" s="558"/>
      <c r="P939" s="558"/>
    </row>
    <row r="940" spans="3:16" x14ac:dyDescent="0.2">
      <c r="C940" s="558"/>
      <c r="D940" s="558"/>
      <c r="E940" s="558"/>
      <c r="F940" s="558"/>
      <c r="G940" s="558"/>
      <c r="H940" s="558"/>
      <c r="I940" s="558"/>
      <c r="J940" s="558"/>
      <c r="K940" s="558"/>
      <c r="L940" s="558"/>
      <c r="M940" s="573"/>
      <c r="N940" s="558"/>
      <c r="O940" s="558"/>
      <c r="P940" s="558"/>
    </row>
    <row r="941" spans="3:16" x14ac:dyDescent="0.2">
      <c r="C941" s="558"/>
      <c r="D941" s="558"/>
      <c r="E941" s="558"/>
      <c r="F941" s="558"/>
      <c r="G941" s="558"/>
      <c r="H941" s="558"/>
      <c r="I941" s="558"/>
      <c r="J941" s="558"/>
      <c r="K941" s="558"/>
      <c r="L941" s="558"/>
      <c r="M941" s="573"/>
      <c r="N941" s="558"/>
      <c r="O941" s="558"/>
      <c r="P941" s="558"/>
    </row>
    <row r="942" spans="3:16" x14ac:dyDescent="0.2">
      <c r="C942" s="558"/>
      <c r="D942" s="558"/>
      <c r="E942" s="558"/>
      <c r="F942" s="558"/>
      <c r="G942" s="558"/>
      <c r="H942" s="558"/>
      <c r="I942" s="558"/>
      <c r="J942" s="558"/>
      <c r="K942" s="558"/>
      <c r="L942" s="558"/>
      <c r="M942" s="573"/>
      <c r="N942" s="558"/>
      <c r="O942" s="558"/>
      <c r="P942" s="558"/>
    </row>
    <row r="943" spans="3:16" x14ac:dyDescent="0.2">
      <c r="C943" s="558"/>
      <c r="D943" s="558"/>
      <c r="E943" s="558"/>
      <c r="F943" s="558"/>
      <c r="G943" s="558"/>
      <c r="H943" s="558"/>
      <c r="I943" s="558"/>
      <c r="J943" s="558"/>
      <c r="K943" s="558"/>
      <c r="L943" s="558"/>
      <c r="M943" s="573"/>
      <c r="N943" s="558"/>
      <c r="O943" s="558"/>
      <c r="P943" s="558"/>
    </row>
    <row r="944" spans="3:16" x14ac:dyDescent="0.2">
      <c r="C944" s="558"/>
      <c r="D944" s="558"/>
      <c r="E944" s="558"/>
      <c r="F944" s="558"/>
      <c r="G944" s="558"/>
      <c r="H944" s="558"/>
      <c r="I944" s="558"/>
      <c r="J944" s="558"/>
      <c r="K944" s="558"/>
      <c r="L944" s="558"/>
      <c r="M944" s="573"/>
      <c r="N944" s="558"/>
      <c r="O944" s="558"/>
      <c r="P944" s="558"/>
    </row>
    <row r="945" spans="3:16" x14ac:dyDescent="0.2">
      <c r="C945" s="558"/>
      <c r="D945" s="558"/>
      <c r="E945" s="558"/>
      <c r="F945" s="558"/>
      <c r="G945" s="558"/>
      <c r="H945" s="558"/>
      <c r="I945" s="558"/>
      <c r="J945" s="558"/>
      <c r="K945" s="558"/>
      <c r="L945" s="558"/>
      <c r="M945" s="573"/>
      <c r="N945" s="558"/>
      <c r="O945" s="558"/>
      <c r="P945" s="558"/>
    </row>
    <row r="946" spans="3:16" x14ac:dyDescent="0.2">
      <c r="C946" s="558"/>
      <c r="D946" s="558"/>
      <c r="E946" s="558"/>
      <c r="F946" s="558"/>
      <c r="G946" s="558"/>
      <c r="H946" s="558"/>
      <c r="I946" s="558"/>
      <c r="J946" s="558"/>
      <c r="K946" s="558"/>
      <c r="L946" s="558"/>
      <c r="M946" s="573"/>
      <c r="N946" s="558"/>
      <c r="O946" s="558"/>
      <c r="P946" s="558"/>
    </row>
    <row r="947" spans="3:16" x14ac:dyDescent="0.2">
      <c r="C947" s="558"/>
      <c r="D947" s="558"/>
      <c r="E947" s="558"/>
      <c r="F947" s="558"/>
      <c r="G947" s="558"/>
      <c r="H947" s="558"/>
      <c r="I947" s="558"/>
      <c r="J947" s="558"/>
      <c r="K947" s="558"/>
      <c r="L947" s="558"/>
      <c r="M947" s="573"/>
      <c r="N947" s="558"/>
      <c r="O947" s="558"/>
      <c r="P947" s="558"/>
    </row>
    <row r="948" spans="3:16" x14ac:dyDescent="0.2">
      <c r="C948" s="558"/>
      <c r="D948" s="558"/>
      <c r="E948" s="558"/>
      <c r="F948" s="558"/>
      <c r="G948" s="558"/>
      <c r="H948" s="558"/>
      <c r="I948" s="558"/>
      <c r="J948" s="558"/>
      <c r="K948" s="558"/>
      <c r="L948" s="558"/>
      <c r="M948" s="573"/>
      <c r="N948" s="558"/>
      <c r="O948" s="558"/>
      <c r="P948" s="558"/>
    </row>
    <row r="949" spans="3:16" x14ac:dyDescent="0.2">
      <c r="C949" s="558"/>
      <c r="D949" s="558"/>
      <c r="E949" s="558"/>
      <c r="F949" s="558"/>
      <c r="G949" s="558"/>
      <c r="H949" s="558"/>
      <c r="I949" s="558"/>
      <c r="J949" s="558"/>
      <c r="K949" s="558"/>
      <c r="L949" s="558"/>
      <c r="M949" s="573"/>
      <c r="N949" s="558"/>
      <c r="O949" s="558"/>
      <c r="P949" s="558"/>
    </row>
    <row r="950" spans="3:16" x14ac:dyDescent="0.2">
      <c r="C950" s="558"/>
      <c r="D950" s="558"/>
      <c r="E950" s="558"/>
      <c r="F950" s="558"/>
      <c r="G950" s="558"/>
      <c r="H950" s="558"/>
      <c r="I950" s="558"/>
      <c r="J950" s="558"/>
      <c r="K950" s="558"/>
      <c r="L950" s="558"/>
      <c r="M950" s="573"/>
      <c r="N950" s="558"/>
      <c r="O950" s="558"/>
      <c r="P950" s="558"/>
    </row>
    <row r="951" spans="3:16" x14ac:dyDescent="0.2">
      <c r="C951" s="558"/>
      <c r="D951" s="558"/>
      <c r="E951" s="558"/>
      <c r="F951" s="558"/>
      <c r="G951" s="558"/>
      <c r="H951" s="558"/>
      <c r="I951" s="558"/>
      <c r="J951" s="558"/>
      <c r="K951" s="558"/>
      <c r="L951" s="558"/>
      <c r="M951" s="573"/>
      <c r="N951" s="558"/>
      <c r="O951" s="558"/>
      <c r="P951" s="558"/>
    </row>
    <row r="952" spans="3:16" x14ac:dyDescent="0.2">
      <c r="C952" s="558"/>
      <c r="D952" s="558"/>
      <c r="E952" s="558"/>
      <c r="F952" s="558"/>
      <c r="G952" s="558"/>
      <c r="H952" s="558"/>
      <c r="I952" s="558"/>
      <c r="J952" s="558"/>
      <c r="K952" s="558"/>
      <c r="L952" s="558"/>
      <c r="M952" s="573"/>
      <c r="N952" s="558"/>
      <c r="O952" s="558"/>
      <c r="P952" s="558"/>
    </row>
    <row r="953" spans="3:16" x14ac:dyDescent="0.2">
      <c r="C953" s="558"/>
      <c r="D953" s="558"/>
      <c r="E953" s="558"/>
      <c r="F953" s="558"/>
      <c r="G953" s="558"/>
      <c r="H953" s="558"/>
      <c r="I953" s="558"/>
      <c r="J953" s="558"/>
      <c r="K953" s="558"/>
      <c r="L953" s="558"/>
      <c r="M953" s="573"/>
      <c r="N953" s="558"/>
      <c r="O953" s="558"/>
      <c r="P953" s="558"/>
    </row>
    <row r="954" spans="3:16" x14ac:dyDescent="0.2">
      <c r="C954" s="558"/>
      <c r="D954" s="558"/>
      <c r="E954" s="558"/>
      <c r="F954" s="558"/>
      <c r="G954" s="558"/>
      <c r="H954" s="558"/>
      <c r="I954" s="558"/>
      <c r="J954" s="558"/>
      <c r="K954" s="558"/>
      <c r="L954" s="558"/>
      <c r="M954" s="573"/>
      <c r="N954" s="558"/>
      <c r="O954" s="558"/>
      <c r="P954" s="558"/>
    </row>
    <row r="955" spans="3:16" x14ac:dyDescent="0.2">
      <c r="C955" s="558"/>
      <c r="D955" s="558"/>
      <c r="E955" s="558"/>
      <c r="F955" s="558"/>
      <c r="G955" s="558"/>
      <c r="H955" s="558"/>
      <c r="I955" s="558"/>
      <c r="J955" s="558"/>
      <c r="K955" s="558"/>
      <c r="L955" s="558"/>
      <c r="M955" s="573"/>
      <c r="N955" s="558"/>
      <c r="O955" s="558"/>
      <c r="P955" s="558"/>
    </row>
    <row r="956" spans="3:16" x14ac:dyDescent="0.2">
      <c r="C956" s="558"/>
      <c r="D956" s="558"/>
      <c r="E956" s="558"/>
      <c r="F956" s="558"/>
      <c r="G956" s="558"/>
      <c r="H956" s="558"/>
      <c r="I956" s="558"/>
      <c r="J956" s="558"/>
      <c r="K956" s="558"/>
      <c r="L956" s="558"/>
      <c r="M956" s="573"/>
      <c r="N956" s="558"/>
      <c r="O956" s="558"/>
      <c r="P956" s="558"/>
    </row>
    <row r="957" spans="3:16" x14ac:dyDescent="0.2">
      <c r="C957" s="558"/>
      <c r="D957" s="558"/>
      <c r="E957" s="558"/>
      <c r="F957" s="558"/>
      <c r="G957" s="558"/>
      <c r="H957" s="558"/>
      <c r="I957" s="558"/>
      <c r="J957" s="558"/>
      <c r="K957" s="558"/>
      <c r="L957" s="558"/>
      <c r="M957" s="573"/>
      <c r="N957" s="558"/>
      <c r="O957" s="558"/>
      <c r="P957" s="558"/>
    </row>
    <row r="958" spans="3:16" x14ac:dyDescent="0.2">
      <c r="C958" s="558"/>
      <c r="D958" s="558"/>
      <c r="E958" s="558"/>
      <c r="F958" s="558"/>
      <c r="G958" s="558"/>
      <c r="H958" s="558"/>
      <c r="I958" s="558"/>
      <c r="J958" s="558"/>
      <c r="K958" s="558"/>
      <c r="L958" s="558"/>
      <c r="M958" s="573"/>
      <c r="N958" s="558"/>
      <c r="O958" s="558"/>
      <c r="P958" s="558"/>
    </row>
    <row r="959" spans="3:16" x14ac:dyDescent="0.2">
      <c r="C959" s="558"/>
      <c r="D959" s="558"/>
      <c r="E959" s="558"/>
      <c r="F959" s="558"/>
      <c r="G959" s="558"/>
      <c r="H959" s="558"/>
      <c r="I959" s="558"/>
      <c r="J959" s="558"/>
      <c r="K959" s="558"/>
      <c r="L959" s="558"/>
      <c r="M959" s="573"/>
      <c r="N959" s="558"/>
      <c r="O959" s="558"/>
      <c r="P959" s="558"/>
    </row>
    <row r="960" spans="3:16" x14ac:dyDescent="0.2">
      <c r="C960" s="558"/>
      <c r="D960" s="558"/>
      <c r="E960" s="558"/>
      <c r="F960" s="558"/>
      <c r="G960" s="558"/>
      <c r="H960" s="558"/>
      <c r="I960" s="558"/>
      <c r="J960" s="558"/>
      <c r="K960" s="558"/>
      <c r="L960" s="558"/>
      <c r="M960" s="573"/>
      <c r="N960" s="558"/>
      <c r="O960" s="558"/>
      <c r="P960" s="558"/>
    </row>
    <row r="961" spans="3:16" x14ac:dyDescent="0.2">
      <c r="C961" s="558"/>
      <c r="D961" s="558"/>
      <c r="E961" s="558"/>
      <c r="F961" s="558"/>
      <c r="G961" s="558"/>
      <c r="H961" s="558"/>
      <c r="I961" s="558"/>
      <c r="J961" s="558"/>
      <c r="K961" s="558"/>
      <c r="L961" s="558"/>
      <c r="M961" s="573"/>
      <c r="N961" s="558"/>
      <c r="O961" s="558"/>
      <c r="P961" s="558"/>
    </row>
    <row r="962" spans="3:16" x14ac:dyDescent="0.2">
      <c r="C962" s="558"/>
      <c r="D962" s="558"/>
      <c r="E962" s="558"/>
      <c r="F962" s="558"/>
      <c r="G962" s="558"/>
      <c r="H962" s="558"/>
      <c r="I962" s="558"/>
      <c r="J962" s="558"/>
      <c r="K962" s="558"/>
      <c r="L962" s="558"/>
      <c r="M962" s="573"/>
      <c r="N962" s="558"/>
      <c r="O962" s="558"/>
      <c r="P962" s="558"/>
    </row>
    <row r="963" spans="3:16" x14ac:dyDescent="0.2">
      <c r="C963" s="558"/>
      <c r="D963" s="558"/>
      <c r="E963" s="558"/>
      <c r="F963" s="558"/>
      <c r="G963" s="558"/>
      <c r="H963" s="558"/>
      <c r="I963" s="558"/>
      <c r="J963" s="558"/>
      <c r="K963" s="558"/>
      <c r="L963" s="558"/>
      <c r="M963" s="573"/>
      <c r="N963" s="558"/>
      <c r="O963" s="558"/>
      <c r="P963" s="558"/>
    </row>
    <row r="964" spans="3:16" x14ac:dyDescent="0.2">
      <c r="C964" s="558"/>
      <c r="D964" s="558"/>
      <c r="E964" s="558"/>
      <c r="F964" s="558"/>
      <c r="G964" s="558"/>
      <c r="H964" s="558"/>
      <c r="I964" s="558"/>
      <c r="J964" s="558"/>
      <c r="K964" s="558"/>
      <c r="L964" s="558"/>
      <c r="M964" s="573"/>
      <c r="N964" s="558"/>
      <c r="O964" s="558"/>
      <c r="P964" s="558"/>
    </row>
    <row r="965" spans="3:16" x14ac:dyDescent="0.2">
      <c r="C965" s="558"/>
      <c r="D965" s="558"/>
      <c r="E965" s="558"/>
      <c r="F965" s="558"/>
      <c r="G965" s="558"/>
      <c r="H965" s="558"/>
      <c r="I965" s="558"/>
      <c r="J965" s="558"/>
      <c r="K965" s="558"/>
      <c r="L965" s="558"/>
      <c r="M965" s="573"/>
      <c r="N965" s="558"/>
      <c r="O965" s="558"/>
      <c r="P965" s="558"/>
    </row>
    <row r="966" spans="3:16" x14ac:dyDescent="0.2">
      <c r="C966" s="558"/>
      <c r="D966" s="558"/>
      <c r="E966" s="558"/>
      <c r="F966" s="558"/>
      <c r="G966" s="558"/>
      <c r="H966" s="558"/>
      <c r="I966" s="558"/>
      <c r="J966" s="558"/>
      <c r="K966" s="558"/>
      <c r="L966" s="558"/>
      <c r="M966" s="573"/>
      <c r="N966" s="558"/>
      <c r="O966" s="558"/>
      <c r="P966" s="558"/>
    </row>
    <row r="967" spans="3:16" x14ac:dyDescent="0.2">
      <c r="C967" s="558"/>
      <c r="D967" s="558"/>
      <c r="E967" s="558"/>
      <c r="F967" s="558"/>
      <c r="G967" s="558"/>
      <c r="H967" s="558"/>
      <c r="I967" s="558"/>
      <c r="J967" s="558"/>
      <c r="K967" s="558"/>
      <c r="L967" s="558"/>
      <c r="M967" s="573"/>
      <c r="N967" s="558"/>
      <c r="O967" s="558"/>
      <c r="P967" s="558"/>
    </row>
    <row r="968" spans="3:16" x14ac:dyDescent="0.2">
      <c r="C968" s="558"/>
      <c r="D968" s="558"/>
      <c r="E968" s="558"/>
      <c r="F968" s="558"/>
      <c r="G968" s="558"/>
      <c r="H968" s="558"/>
      <c r="I968" s="558"/>
      <c r="J968" s="558"/>
      <c r="K968" s="558"/>
      <c r="L968" s="558"/>
      <c r="M968" s="573"/>
      <c r="N968" s="558"/>
      <c r="O968" s="558"/>
      <c r="P968" s="558"/>
    </row>
    <row r="969" spans="3:16" x14ac:dyDescent="0.2">
      <c r="C969" s="558"/>
      <c r="D969" s="558"/>
      <c r="E969" s="558"/>
      <c r="F969" s="558"/>
      <c r="G969" s="558"/>
      <c r="H969" s="558"/>
      <c r="I969" s="558"/>
      <c r="J969" s="558"/>
      <c r="K969" s="558"/>
      <c r="L969" s="558"/>
      <c r="M969" s="573"/>
      <c r="N969" s="558"/>
      <c r="O969" s="558"/>
      <c r="P969" s="558"/>
    </row>
    <row r="970" spans="3:16" x14ac:dyDescent="0.2">
      <c r="C970" s="558"/>
      <c r="D970" s="558"/>
      <c r="E970" s="558"/>
      <c r="F970" s="558"/>
      <c r="G970" s="558"/>
      <c r="H970" s="558"/>
      <c r="I970" s="558"/>
      <c r="J970" s="558"/>
      <c r="K970" s="558"/>
      <c r="L970" s="558"/>
      <c r="M970" s="573"/>
      <c r="N970" s="558"/>
      <c r="O970" s="558"/>
      <c r="P970" s="558"/>
    </row>
    <row r="971" spans="3:16" x14ac:dyDescent="0.2">
      <c r="C971" s="558"/>
      <c r="D971" s="558"/>
      <c r="E971" s="558"/>
      <c r="F971" s="558"/>
      <c r="G971" s="558"/>
      <c r="H971" s="558"/>
      <c r="I971" s="558"/>
      <c r="J971" s="558"/>
      <c r="K971" s="558"/>
      <c r="L971" s="558"/>
      <c r="M971" s="573"/>
      <c r="N971" s="558"/>
      <c r="O971" s="558"/>
      <c r="P971" s="558"/>
    </row>
    <row r="972" spans="3:16" x14ac:dyDescent="0.2">
      <c r="C972" s="558"/>
      <c r="D972" s="558"/>
      <c r="E972" s="558"/>
      <c r="F972" s="558"/>
      <c r="G972" s="558"/>
      <c r="H972" s="558"/>
      <c r="I972" s="558"/>
      <c r="J972" s="558"/>
      <c r="K972" s="558"/>
      <c r="L972" s="558"/>
      <c r="M972" s="573"/>
      <c r="N972" s="558"/>
      <c r="O972" s="558"/>
      <c r="P972" s="558"/>
    </row>
    <row r="973" spans="3:16" x14ac:dyDescent="0.2">
      <c r="C973" s="558"/>
      <c r="D973" s="558"/>
      <c r="E973" s="558"/>
      <c r="F973" s="558"/>
      <c r="G973" s="558"/>
      <c r="H973" s="558"/>
      <c r="I973" s="558"/>
      <c r="J973" s="558"/>
      <c r="K973" s="558"/>
      <c r="L973" s="558"/>
      <c r="M973" s="573"/>
      <c r="N973" s="558"/>
      <c r="O973" s="558"/>
      <c r="P973" s="558"/>
    </row>
    <row r="974" spans="3:16" x14ac:dyDescent="0.2">
      <c r="C974" s="558"/>
      <c r="D974" s="558"/>
      <c r="E974" s="558"/>
      <c r="F974" s="558"/>
      <c r="G974" s="558"/>
      <c r="H974" s="558"/>
      <c r="I974" s="558"/>
      <c r="J974" s="558"/>
      <c r="K974" s="558"/>
      <c r="L974" s="558"/>
      <c r="M974" s="573"/>
      <c r="N974" s="558"/>
      <c r="O974" s="558"/>
      <c r="P974" s="558"/>
    </row>
    <row r="975" spans="3:16" x14ac:dyDescent="0.2">
      <c r="C975" s="558"/>
      <c r="D975" s="558"/>
      <c r="E975" s="558"/>
      <c r="F975" s="558"/>
      <c r="G975" s="558"/>
      <c r="H975" s="558"/>
      <c r="I975" s="558"/>
      <c r="J975" s="558"/>
      <c r="K975" s="558"/>
      <c r="L975" s="558"/>
      <c r="M975" s="573"/>
      <c r="N975" s="558"/>
      <c r="O975" s="558"/>
      <c r="P975" s="558"/>
    </row>
    <row r="976" spans="3:16" x14ac:dyDescent="0.2">
      <c r="C976" s="558"/>
      <c r="D976" s="558"/>
      <c r="E976" s="558"/>
      <c r="F976" s="558"/>
      <c r="G976" s="558"/>
      <c r="H976" s="558"/>
      <c r="I976" s="558"/>
      <c r="J976" s="558"/>
      <c r="K976" s="558"/>
      <c r="L976" s="558"/>
      <c r="M976" s="573"/>
      <c r="N976" s="558"/>
      <c r="O976" s="558"/>
      <c r="P976" s="558"/>
    </row>
    <row r="977" spans="3:16" x14ac:dyDescent="0.2">
      <c r="C977" s="558"/>
      <c r="D977" s="558"/>
      <c r="E977" s="558"/>
      <c r="F977" s="558"/>
      <c r="G977" s="558"/>
      <c r="H977" s="558"/>
      <c r="I977" s="558"/>
      <c r="J977" s="558"/>
      <c r="K977" s="558"/>
      <c r="L977" s="558"/>
      <c r="M977" s="573"/>
      <c r="N977" s="558"/>
      <c r="O977" s="558"/>
      <c r="P977" s="558"/>
    </row>
    <row r="978" spans="3:16" x14ac:dyDescent="0.2">
      <c r="C978" s="558"/>
      <c r="D978" s="558"/>
      <c r="E978" s="558"/>
      <c r="F978" s="558"/>
      <c r="G978" s="558"/>
      <c r="H978" s="558"/>
      <c r="I978" s="558"/>
      <c r="J978" s="558"/>
      <c r="K978" s="558"/>
      <c r="L978" s="558"/>
      <c r="M978" s="573"/>
      <c r="N978" s="558"/>
      <c r="O978" s="558"/>
      <c r="P978" s="558"/>
    </row>
    <row r="979" spans="3:16" x14ac:dyDescent="0.2">
      <c r="C979" s="558"/>
      <c r="D979" s="558"/>
      <c r="E979" s="558"/>
      <c r="F979" s="558"/>
      <c r="G979" s="558"/>
      <c r="H979" s="558"/>
      <c r="I979" s="558"/>
      <c r="J979" s="558"/>
      <c r="K979" s="558"/>
      <c r="L979" s="558"/>
      <c r="M979" s="573"/>
      <c r="N979" s="558"/>
      <c r="O979" s="558"/>
      <c r="P979" s="558"/>
    </row>
    <row r="980" spans="3:16" x14ac:dyDescent="0.2">
      <c r="C980" s="558"/>
      <c r="D980" s="558"/>
      <c r="E980" s="558"/>
      <c r="F980" s="558"/>
      <c r="G980" s="558"/>
      <c r="H980" s="558"/>
      <c r="I980" s="558"/>
      <c r="J980" s="558"/>
      <c r="K980" s="558"/>
      <c r="L980" s="558"/>
      <c r="M980" s="573"/>
      <c r="N980" s="558"/>
      <c r="O980" s="558"/>
      <c r="P980" s="558"/>
    </row>
    <row r="981" spans="3:16" x14ac:dyDescent="0.2">
      <c r="C981" s="558"/>
      <c r="D981" s="558"/>
      <c r="E981" s="558"/>
      <c r="F981" s="558"/>
      <c r="G981" s="558"/>
      <c r="H981" s="558"/>
      <c r="I981" s="558"/>
      <c r="J981" s="558"/>
      <c r="K981" s="558"/>
      <c r="L981" s="558"/>
      <c r="M981" s="573"/>
      <c r="N981" s="558"/>
      <c r="O981" s="558"/>
      <c r="P981" s="558"/>
    </row>
    <row r="982" spans="3:16" x14ac:dyDescent="0.2">
      <c r="C982" s="558"/>
      <c r="D982" s="558"/>
      <c r="E982" s="558"/>
      <c r="F982" s="558"/>
      <c r="G982" s="558"/>
      <c r="H982" s="558"/>
      <c r="I982" s="558"/>
      <c r="J982" s="558"/>
      <c r="K982" s="558"/>
      <c r="L982" s="558"/>
      <c r="M982" s="573"/>
      <c r="N982" s="558"/>
      <c r="O982" s="558"/>
      <c r="P982" s="558"/>
    </row>
    <row r="983" spans="3:16" x14ac:dyDescent="0.2">
      <c r="C983" s="558"/>
      <c r="D983" s="558"/>
      <c r="E983" s="558"/>
      <c r="F983" s="558"/>
      <c r="G983" s="558"/>
      <c r="H983" s="558"/>
      <c r="I983" s="558"/>
      <c r="J983" s="558"/>
      <c r="K983" s="558"/>
      <c r="L983" s="558"/>
      <c r="M983" s="573"/>
      <c r="N983" s="558"/>
      <c r="O983" s="558"/>
      <c r="P983" s="558"/>
    </row>
    <row r="984" spans="3:16" x14ac:dyDescent="0.2">
      <c r="C984" s="558"/>
      <c r="D984" s="558"/>
      <c r="E984" s="558"/>
      <c r="F984" s="558"/>
      <c r="G984" s="558"/>
      <c r="H984" s="558"/>
      <c r="I984" s="558"/>
      <c r="J984" s="558"/>
      <c r="K984" s="558"/>
      <c r="L984" s="558"/>
      <c r="M984" s="573"/>
      <c r="N984" s="558"/>
      <c r="O984" s="558"/>
      <c r="P984" s="558"/>
    </row>
    <row r="985" spans="3:16" x14ac:dyDescent="0.2">
      <c r="C985" s="558"/>
      <c r="D985" s="558"/>
      <c r="E985" s="558"/>
      <c r="F985" s="558"/>
      <c r="G985" s="558"/>
      <c r="H985" s="558"/>
      <c r="I985" s="558"/>
      <c r="J985" s="558"/>
      <c r="K985" s="558"/>
      <c r="L985" s="558"/>
      <c r="M985" s="573"/>
      <c r="N985" s="558"/>
      <c r="O985" s="558"/>
      <c r="P985" s="558"/>
    </row>
    <row r="986" spans="3:16" x14ac:dyDescent="0.2">
      <c r="C986" s="558"/>
      <c r="D986" s="558"/>
      <c r="E986" s="558"/>
      <c r="F986" s="558"/>
      <c r="G986" s="558"/>
      <c r="H986" s="558"/>
      <c r="I986" s="558"/>
      <c r="J986" s="558"/>
      <c r="K986" s="558"/>
      <c r="L986" s="558"/>
      <c r="M986" s="573"/>
      <c r="N986" s="558"/>
      <c r="O986" s="558"/>
      <c r="P986" s="558"/>
    </row>
    <row r="987" spans="3:16" x14ac:dyDescent="0.2">
      <c r="C987" s="558"/>
      <c r="D987" s="558"/>
      <c r="E987" s="558"/>
      <c r="F987" s="558"/>
      <c r="G987" s="558"/>
      <c r="H987" s="558"/>
      <c r="I987" s="558"/>
      <c r="J987" s="558"/>
      <c r="K987" s="558"/>
      <c r="L987" s="558"/>
      <c r="M987" s="573"/>
      <c r="N987" s="558"/>
      <c r="O987" s="558"/>
      <c r="P987" s="558"/>
    </row>
    <row r="988" spans="3:16" x14ac:dyDescent="0.2">
      <c r="C988" s="558"/>
      <c r="D988" s="558"/>
      <c r="E988" s="558"/>
      <c r="F988" s="558"/>
      <c r="G988" s="558"/>
      <c r="H988" s="558"/>
      <c r="I988" s="558"/>
      <c r="J988" s="558"/>
      <c r="K988" s="558"/>
      <c r="L988" s="558"/>
      <c r="M988" s="573"/>
      <c r="N988" s="558"/>
      <c r="O988" s="558"/>
      <c r="P988" s="558"/>
    </row>
    <row r="989" spans="3:16" x14ac:dyDescent="0.2">
      <c r="C989" s="558"/>
      <c r="D989" s="558"/>
      <c r="E989" s="558"/>
      <c r="F989" s="558"/>
      <c r="G989" s="558"/>
      <c r="H989" s="558"/>
      <c r="I989" s="558"/>
      <c r="J989" s="558"/>
      <c r="K989" s="558"/>
      <c r="L989" s="558"/>
      <c r="M989" s="573"/>
      <c r="N989" s="558"/>
      <c r="O989" s="558"/>
      <c r="P989" s="558"/>
    </row>
    <row r="990" spans="3:16" x14ac:dyDescent="0.2">
      <c r="C990" s="558"/>
      <c r="D990" s="558"/>
      <c r="E990" s="558"/>
      <c r="F990" s="558"/>
      <c r="G990" s="558"/>
      <c r="H990" s="558"/>
      <c r="I990" s="558"/>
      <c r="J990" s="558"/>
      <c r="K990" s="558"/>
      <c r="L990" s="558"/>
      <c r="M990" s="573"/>
      <c r="N990" s="558"/>
      <c r="O990" s="558"/>
      <c r="P990" s="558"/>
    </row>
    <row r="991" spans="3:16" x14ac:dyDescent="0.2">
      <c r="C991" s="558"/>
      <c r="D991" s="558"/>
      <c r="E991" s="558"/>
      <c r="F991" s="558"/>
      <c r="G991" s="558"/>
      <c r="H991" s="558"/>
      <c r="I991" s="558"/>
      <c r="J991" s="558"/>
      <c r="K991" s="558"/>
      <c r="L991" s="558"/>
      <c r="M991" s="573"/>
      <c r="N991" s="558"/>
      <c r="O991" s="558"/>
      <c r="P991" s="558"/>
    </row>
    <row r="992" spans="3:16" x14ac:dyDescent="0.2">
      <c r="C992" s="558"/>
      <c r="D992" s="558"/>
      <c r="E992" s="558"/>
      <c r="F992" s="558"/>
      <c r="G992" s="558"/>
      <c r="H992" s="558"/>
      <c r="I992" s="558"/>
      <c r="J992" s="558"/>
      <c r="K992" s="558"/>
      <c r="L992" s="558"/>
      <c r="M992" s="573"/>
      <c r="N992" s="558"/>
      <c r="O992" s="558"/>
      <c r="P992" s="558"/>
    </row>
    <row r="993" spans="3:16" x14ac:dyDescent="0.2">
      <c r="C993" s="558"/>
      <c r="D993" s="558"/>
      <c r="E993" s="558"/>
      <c r="F993" s="558"/>
      <c r="G993" s="558"/>
      <c r="H993" s="558"/>
      <c r="I993" s="558"/>
      <c r="J993" s="558"/>
      <c r="K993" s="558"/>
      <c r="L993" s="558"/>
      <c r="M993" s="573"/>
      <c r="N993" s="558"/>
      <c r="O993" s="558"/>
      <c r="P993" s="558"/>
    </row>
    <row r="994" spans="3:16" x14ac:dyDescent="0.2">
      <c r="C994" s="558"/>
      <c r="D994" s="558"/>
      <c r="E994" s="558"/>
      <c r="F994" s="558"/>
      <c r="G994" s="558"/>
      <c r="H994" s="558"/>
      <c r="I994" s="558"/>
      <c r="J994" s="558"/>
      <c r="K994" s="558"/>
      <c r="L994" s="558"/>
      <c r="M994" s="573"/>
      <c r="N994" s="558"/>
      <c r="O994" s="558"/>
      <c r="P994" s="558"/>
    </row>
    <row r="995" spans="3:16" x14ac:dyDescent="0.2">
      <c r="C995" s="558"/>
      <c r="D995" s="558"/>
      <c r="E995" s="558"/>
      <c r="F995" s="558"/>
      <c r="G995" s="558"/>
      <c r="H995" s="558"/>
      <c r="I995" s="558"/>
      <c r="J995" s="558"/>
      <c r="K995" s="558"/>
      <c r="L995" s="558"/>
      <c r="M995" s="573"/>
      <c r="N995" s="558"/>
      <c r="O995" s="558"/>
      <c r="P995" s="558"/>
    </row>
    <row r="996" spans="3:16" x14ac:dyDescent="0.2">
      <c r="C996" s="558"/>
      <c r="D996" s="558"/>
      <c r="E996" s="558"/>
      <c r="F996" s="558"/>
      <c r="G996" s="558"/>
      <c r="H996" s="558"/>
      <c r="I996" s="558"/>
      <c r="J996" s="558"/>
      <c r="K996" s="558"/>
      <c r="L996" s="558"/>
      <c r="M996" s="573"/>
      <c r="N996" s="558"/>
      <c r="O996" s="558"/>
      <c r="P996" s="558"/>
    </row>
    <row r="997" spans="3:16" x14ac:dyDescent="0.2">
      <c r="C997" s="558"/>
      <c r="D997" s="558"/>
      <c r="E997" s="558"/>
      <c r="F997" s="558"/>
      <c r="G997" s="558"/>
      <c r="H997" s="558"/>
      <c r="I997" s="558"/>
      <c r="J997" s="558"/>
      <c r="K997" s="558"/>
      <c r="L997" s="558"/>
      <c r="M997" s="573"/>
      <c r="N997" s="558"/>
      <c r="O997" s="558"/>
      <c r="P997" s="558"/>
    </row>
    <row r="998" spans="3:16" x14ac:dyDescent="0.2">
      <c r="C998" s="558"/>
      <c r="D998" s="558"/>
      <c r="E998" s="558"/>
      <c r="F998" s="558"/>
      <c r="G998" s="558"/>
      <c r="H998" s="558"/>
      <c r="I998" s="558"/>
      <c r="J998" s="558"/>
      <c r="K998" s="558"/>
      <c r="L998" s="558"/>
      <c r="M998" s="573"/>
      <c r="N998" s="558"/>
      <c r="O998" s="558"/>
      <c r="P998" s="558"/>
    </row>
    <row r="999" spans="3:16" x14ac:dyDescent="0.2">
      <c r="C999" s="558"/>
      <c r="D999" s="558"/>
      <c r="E999" s="558"/>
      <c r="F999" s="558"/>
      <c r="G999" s="558"/>
      <c r="H999" s="558"/>
      <c r="I999" s="558"/>
      <c r="J999" s="558"/>
      <c r="K999" s="558"/>
      <c r="L999" s="558"/>
      <c r="M999" s="573"/>
      <c r="N999" s="558"/>
      <c r="O999" s="558"/>
      <c r="P999" s="558"/>
    </row>
    <row r="1000" spans="3:16" x14ac:dyDescent="0.2">
      <c r="C1000" s="558"/>
      <c r="D1000" s="558"/>
      <c r="E1000" s="558"/>
      <c r="F1000" s="558"/>
      <c r="G1000" s="558"/>
      <c r="H1000" s="558"/>
      <c r="I1000" s="558"/>
      <c r="J1000" s="558"/>
      <c r="K1000" s="558"/>
      <c r="L1000" s="558"/>
      <c r="M1000" s="573"/>
      <c r="N1000" s="558"/>
      <c r="O1000" s="558"/>
      <c r="P1000" s="558"/>
    </row>
    <row r="1001" spans="3:16" x14ac:dyDescent="0.2">
      <c r="C1001" s="558"/>
      <c r="D1001" s="558"/>
      <c r="E1001" s="558"/>
      <c r="F1001" s="558"/>
      <c r="G1001" s="558"/>
      <c r="H1001" s="558"/>
      <c r="I1001" s="558"/>
      <c r="J1001" s="558"/>
      <c r="K1001" s="558"/>
      <c r="L1001" s="558"/>
      <c r="M1001" s="573"/>
      <c r="N1001" s="558"/>
      <c r="O1001" s="558"/>
      <c r="P1001" s="558"/>
    </row>
    <row r="1002" spans="3:16" x14ac:dyDescent="0.2">
      <c r="C1002" s="558"/>
      <c r="D1002" s="558"/>
      <c r="E1002" s="558"/>
      <c r="F1002" s="558"/>
      <c r="G1002" s="558"/>
      <c r="H1002" s="558"/>
      <c r="I1002" s="558"/>
      <c r="J1002" s="558"/>
      <c r="K1002" s="558"/>
      <c r="L1002" s="558"/>
      <c r="M1002" s="573"/>
      <c r="N1002" s="558"/>
      <c r="O1002" s="558"/>
      <c r="P1002" s="558"/>
    </row>
    <row r="1003" spans="3:16" x14ac:dyDescent="0.2">
      <c r="C1003" s="558"/>
      <c r="D1003" s="558"/>
      <c r="E1003" s="558"/>
      <c r="F1003" s="558"/>
      <c r="G1003" s="558"/>
      <c r="H1003" s="558"/>
      <c r="I1003" s="558"/>
      <c r="J1003" s="558"/>
      <c r="K1003" s="558"/>
      <c r="L1003" s="558"/>
      <c r="M1003" s="573"/>
      <c r="N1003" s="558"/>
      <c r="O1003" s="558"/>
      <c r="P1003" s="558"/>
    </row>
    <row r="1004" spans="3:16" x14ac:dyDescent="0.2">
      <c r="C1004" s="558"/>
      <c r="D1004" s="558"/>
      <c r="E1004" s="558"/>
      <c r="F1004" s="558"/>
      <c r="G1004" s="558"/>
      <c r="H1004" s="558"/>
      <c r="I1004" s="558"/>
      <c r="J1004" s="558"/>
      <c r="K1004" s="558"/>
      <c r="L1004" s="558"/>
      <c r="M1004" s="573"/>
      <c r="N1004" s="558"/>
      <c r="O1004" s="558"/>
      <c r="P1004" s="558"/>
    </row>
    <row r="1005" spans="3:16" x14ac:dyDescent="0.2">
      <c r="C1005" s="558"/>
      <c r="D1005" s="558"/>
      <c r="E1005" s="558"/>
      <c r="F1005" s="558"/>
      <c r="G1005" s="558"/>
      <c r="H1005" s="558"/>
      <c r="I1005" s="558"/>
      <c r="J1005" s="558"/>
      <c r="K1005" s="558"/>
      <c r="L1005" s="558"/>
      <c r="M1005" s="573"/>
      <c r="N1005" s="558"/>
      <c r="O1005" s="558"/>
      <c r="P1005" s="558"/>
    </row>
    <row r="1006" spans="3:16" x14ac:dyDescent="0.2">
      <c r="C1006" s="558"/>
      <c r="D1006" s="558"/>
      <c r="E1006" s="558"/>
      <c r="F1006" s="558"/>
      <c r="G1006" s="558"/>
      <c r="H1006" s="558"/>
      <c r="I1006" s="558"/>
      <c r="J1006" s="558"/>
      <c r="K1006" s="558"/>
      <c r="L1006" s="558"/>
      <c r="M1006" s="573"/>
      <c r="N1006" s="558"/>
      <c r="O1006" s="558"/>
      <c r="P1006" s="558"/>
    </row>
    <row r="1007" spans="3:16" x14ac:dyDescent="0.2">
      <c r="C1007" s="558"/>
      <c r="D1007" s="558"/>
      <c r="E1007" s="558"/>
      <c r="F1007" s="558"/>
      <c r="G1007" s="558"/>
      <c r="H1007" s="558"/>
      <c r="I1007" s="558"/>
      <c r="J1007" s="558"/>
      <c r="K1007" s="558"/>
      <c r="L1007" s="558"/>
      <c r="M1007" s="573"/>
      <c r="N1007" s="558"/>
      <c r="O1007" s="558"/>
      <c r="P1007" s="558"/>
    </row>
    <row r="1008" spans="3:16" x14ac:dyDescent="0.2">
      <c r="C1008" s="558"/>
      <c r="D1008" s="558"/>
      <c r="E1008" s="558"/>
      <c r="F1008" s="558"/>
      <c r="G1008" s="558"/>
      <c r="H1008" s="558"/>
      <c r="I1008" s="558"/>
      <c r="J1008" s="558"/>
      <c r="K1008" s="558"/>
      <c r="L1008" s="558"/>
      <c r="M1008" s="573"/>
      <c r="N1008" s="558"/>
      <c r="O1008" s="558"/>
      <c r="P1008" s="558"/>
    </row>
    <row r="1009" spans="3:16" x14ac:dyDescent="0.2">
      <c r="C1009" s="558"/>
      <c r="D1009" s="558"/>
      <c r="E1009" s="558"/>
      <c r="F1009" s="558"/>
      <c r="G1009" s="558"/>
      <c r="H1009" s="558"/>
      <c r="I1009" s="558"/>
      <c r="J1009" s="558"/>
      <c r="K1009" s="558"/>
      <c r="L1009" s="558"/>
      <c r="M1009" s="573"/>
      <c r="N1009" s="558"/>
      <c r="O1009" s="558"/>
      <c r="P1009" s="558"/>
    </row>
    <row r="1010" spans="3:16" x14ac:dyDescent="0.2">
      <c r="C1010" s="558"/>
      <c r="D1010" s="558"/>
      <c r="E1010" s="558"/>
      <c r="F1010" s="558"/>
      <c r="G1010" s="558"/>
      <c r="H1010" s="558"/>
      <c r="I1010" s="558"/>
      <c r="J1010" s="558"/>
      <c r="K1010" s="558"/>
      <c r="L1010" s="558"/>
      <c r="M1010" s="573"/>
      <c r="N1010" s="558"/>
      <c r="O1010" s="558"/>
      <c r="P1010" s="558"/>
    </row>
    <row r="1011" spans="3:16" x14ac:dyDescent="0.2">
      <c r="C1011" s="558"/>
      <c r="D1011" s="558"/>
      <c r="E1011" s="558"/>
      <c r="F1011" s="558"/>
      <c r="G1011" s="558"/>
      <c r="H1011" s="558"/>
      <c r="I1011" s="558"/>
      <c r="J1011" s="558"/>
      <c r="K1011" s="558"/>
      <c r="L1011" s="558"/>
      <c r="M1011" s="573"/>
      <c r="N1011" s="558"/>
      <c r="O1011" s="558"/>
      <c r="P1011" s="558"/>
    </row>
    <row r="1012" spans="3:16" x14ac:dyDescent="0.2">
      <c r="C1012" s="558"/>
      <c r="D1012" s="558"/>
      <c r="E1012" s="558"/>
      <c r="F1012" s="558"/>
      <c r="G1012" s="558"/>
      <c r="H1012" s="558"/>
      <c r="I1012" s="558"/>
      <c r="J1012" s="558"/>
      <c r="K1012" s="558"/>
      <c r="L1012" s="558"/>
      <c r="M1012" s="573"/>
      <c r="N1012" s="558"/>
      <c r="O1012" s="558"/>
      <c r="P1012" s="558"/>
    </row>
    <row r="1013" spans="3:16" x14ac:dyDescent="0.2">
      <c r="C1013" s="558"/>
      <c r="D1013" s="558"/>
      <c r="E1013" s="558"/>
      <c r="F1013" s="558"/>
      <c r="G1013" s="558"/>
      <c r="H1013" s="558"/>
      <c r="I1013" s="558"/>
      <c r="J1013" s="558"/>
      <c r="K1013" s="558"/>
      <c r="L1013" s="558"/>
      <c r="M1013" s="573"/>
      <c r="N1013" s="558"/>
      <c r="O1013" s="558"/>
      <c r="P1013" s="558"/>
    </row>
    <row r="1014" spans="3:16" x14ac:dyDescent="0.2">
      <c r="C1014" s="558"/>
      <c r="D1014" s="558"/>
      <c r="E1014" s="558"/>
      <c r="F1014" s="558"/>
      <c r="G1014" s="558"/>
      <c r="H1014" s="558"/>
      <c r="I1014" s="558"/>
      <c r="J1014" s="558"/>
      <c r="K1014" s="558"/>
      <c r="L1014" s="558"/>
      <c r="M1014" s="573"/>
      <c r="N1014" s="558"/>
      <c r="O1014" s="558"/>
      <c r="P1014" s="558"/>
    </row>
    <row r="1015" spans="3:16" x14ac:dyDescent="0.2">
      <c r="C1015" s="558"/>
      <c r="D1015" s="558"/>
      <c r="E1015" s="558"/>
      <c r="F1015" s="558"/>
      <c r="G1015" s="558"/>
      <c r="H1015" s="558"/>
      <c r="I1015" s="558"/>
      <c r="J1015" s="558"/>
      <c r="K1015" s="558"/>
      <c r="L1015" s="558"/>
      <c r="M1015" s="573"/>
      <c r="N1015" s="558"/>
      <c r="O1015" s="558"/>
      <c r="P1015" s="558"/>
    </row>
    <row r="1016" spans="3:16" x14ac:dyDescent="0.2">
      <c r="C1016" s="558"/>
      <c r="D1016" s="558"/>
      <c r="E1016" s="558"/>
      <c r="F1016" s="558"/>
      <c r="G1016" s="558"/>
      <c r="H1016" s="558"/>
      <c r="I1016" s="558"/>
      <c r="J1016" s="558"/>
      <c r="K1016" s="558"/>
      <c r="L1016" s="558"/>
      <c r="M1016" s="573"/>
      <c r="N1016" s="558"/>
      <c r="O1016" s="558"/>
      <c r="P1016" s="558"/>
    </row>
    <row r="1017" spans="3:16" x14ac:dyDescent="0.2">
      <c r="C1017" s="558"/>
      <c r="D1017" s="558"/>
      <c r="E1017" s="558"/>
      <c r="F1017" s="558"/>
      <c r="G1017" s="558"/>
      <c r="H1017" s="558"/>
      <c r="I1017" s="558"/>
      <c r="J1017" s="558"/>
      <c r="K1017" s="558"/>
      <c r="L1017" s="558"/>
      <c r="M1017" s="573"/>
      <c r="N1017" s="558"/>
      <c r="O1017" s="558"/>
      <c r="P1017" s="558"/>
    </row>
    <row r="1018" spans="3:16" x14ac:dyDescent="0.2">
      <c r="C1018" s="558"/>
      <c r="D1018" s="558"/>
      <c r="E1018" s="558"/>
      <c r="F1018" s="558"/>
      <c r="G1018" s="558"/>
      <c r="H1018" s="558"/>
      <c r="I1018" s="558"/>
      <c r="J1018" s="558"/>
      <c r="K1018" s="558"/>
      <c r="L1018" s="558"/>
      <c r="M1018" s="573"/>
      <c r="N1018" s="558"/>
      <c r="O1018" s="558"/>
      <c r="P1018" s="558"/>
    </row>
    <row r="1019" spans="3:16" x14ac:dyDescent="0.2">
      <c r="C1019" s="558"/>
      <c r="D1019" s="558"/>
      <c r="E1019" s="558"/>
      <c r="F1019" s="558"/>
      <c r="G1019" s="558"/>
      <c r="H1019" s="558"/>
      <c r="I1019" s="558"/>
      <c r="J1019" s="558"/>
      <c r="K1019" s="558"/>
      <c r="L1019" s="558"/>
      <c r="M1019" s="573"/>
      <c r="N1019" s="558"/>
      <c r="O1019" s="558"/>
      <c r="P1019" s="558"/>
    </row>
    <row r="1020" spans="3:16" x14ac:dyDescent="0.2">
      <c r="C1020" s="558"/>
      <c r="D1020" s="558"/>
      <c r="E1020" s="558"/>
      <c r="F1020" s="558"/>
      <c r="G1020" s="558"/>
      <c r="H1020" s="558"/>
      <c r="I1020" s="558"/>
      <c r="J1020" s="558"/>
      <c r="K1020" s="558"/>
      <c r="L1020" s="558"/>
      <c r="M1020" s="573"/>
      <c r="N1020" s="558"/>
      <c r="O1020" s="558"/>
      <c r="P1020" s="558"/>
    </row>
    <row r="1021" spans="3:16" x14ac:dyDescent="0.2">
      <c r="C1021" s="558"/>
      <c r="D1021" s="558"/>
      <c r="E1021" s="558"/>
      <c r="F1021" s="558"/>
      <c r="G1021" s="558"/>
      <c r="H1021" s="558"/>
      <c r="I1021" s="558"/>
      <c r="J1021" s="558"/>
      <c r="K1021" s="558"/>
      <c r="L1021" s="558"/>
      <c r="M1021" s="573"/>
      <c r="N1021" s="558"/>
      <c r="O1021" s="558"/>
      <c r="P1021" s="558"/>
    </row>
    <row r="1022" spans="3:16" x14ac:dyDescent="0.2">
      <c r="C1022" s="558"/>
      <c r="D1022" s="558"/>
      <c r="E1022" s="558"/>
      <c r="F1022" s="558"/>
      <c r="G1022" s="558"/>
      <c r="H1022" s="558"/>
      <c r="I1022" s="558"/>
      <c r="J1022" s="558"/>
      <c r="K1022" s="558"/>
      <c r="L1022" s="558"/>
      <c r="M1022" s="573"/>
      <c r="N1022" s="558"/>
      <c r="O1022" s="558"/>
      <c r="P1022" s="558"/>
    </row>
    <row r="1023" spans="3:16" x14ac:dyDescent="0.2">
      <c r="C1023" s="558"/>
      <c r="D1023" s="558"/>
      <c r="E1023" s="558"/>
      <c r="F1023" s="558"/>
      <c r="G1023" s="558"/>
      <c r="H1023" s="558"/>
      <c r="I1023" s="558"/>
      <c r="J1023" s="558"/>
      <c r="K1023" s="558"/>
      <c r="L1023" s="558"/>
      <c r="M1023" s="573"/>
      <c r="N1023" s="558"/>
      <c r="O1023" s="558"/>
      <c r="P1023" s="558"/>
    </row>
    <row r="1024" spans="3:16" x14ac:dyDescent="0.2">
      <c r="C1024" s="558"/>
      <c r="D1024" s="558"/>
      <c r="E1024" s="558"/>
      <c r="F1024" s="558"/>
      <c r="G1024" s="558"/>
      <c r="H1024" s="558"/>
      <c r="I1024" s="558"/>
      <c r="J1024" s="558"/>
      <c r="K1024" s="558"/>
      <c r="L1024" s="558"/>
      <c r="M1024" s="573"/>
      <c r="N1024" s="558"/>
      <c r="O1024" s="558"/>
      <c r="P1024" s="558"/>
    </row>
    <row r="1025" spans="3:16" x14ac:dyDescent="0.2">
      <c r="C1025" s="558"/>
      <c r="D1025" s="558"/>
      <c r="E1025" s="558"/>
      <c r="F1025" s="558"/>
      <c r="G1025" s="558"/>
      <c r="H1025" s="558"/>
      <c r="I1025" s="558"/>
      <c r="J1025" s="558"/>
      <c r="K1025" s="558"/>
      <c r="L1025" s="558"/>
      <c r="M1025" s="573"/>
      <c r="N1025" s="558"/>
      <c r="O1025" s="558"/>
      <c r="P1025" s="558"/>
    </row>
    <row r="1026" spans="3:16" x14ac:dyDescent="0.2">
      <c r="C1026" s="558"/>
      <c r="D1026" s="558"/>
      <c r="E1026" s="558"/>
      <c r="F1026" s="558"/>
      <c r="G1026" s="558"/>
      <c r="H1026" s="558"/>
      <c r="I1026" s="558"/>
      <c r="J1026" s="558"/>
      <c r="K1026" s="558"/>
      <c r="L1026" s="558"/>
      <c r="M1026" s="573"/>
      <c r="N1026" s="558"/>
      <c r="O1026" s="558"/>
      <c r="P1026" s="558"/>
    </row>
    <row r="1027" spans="3:16" x14ac:dyDescent="0.2">
      <c r="C1027" s="558"/>
      <c r="D1027" s="558"/>
      <c r="E1027" s="558"/>
      <c r="F1027" s="558"/>
      <c r="G1027" s="558"/>
      <c r="H1027" s="558"/>
      <c r="I1027" s="558"/>
      <c r="J1027" s="558"/>
      <c r="K1027" s="558"/>
      <c r="L1027" s="558"/>
      <c r="M1027" s="573"/>
      <c r="N1027" s="558"/>
      <c r="O1027" s="558"/>
      <c r="P1027" s="558"/>
    </row>
    <row r="1028" spans="3:16" x14ac:dyDescent="0.2">
      <c r="C1028" s="558"/>
      <c r="D1028" s="558"/>
      <c r="E1028" s="558"/>
      <c r="F1028" s="558"/>
      <c r="G1028" s="558"/>
      <c r="H1028" s="558"/>
      <c r="I1028" s="558"/>
      <c r="J1028" s="558"/>
      <c r="K1028" s="558"/>
      <c r="L1028" s="558"/>
      <c r="M1028" s="573"/>
      <c r="N1028" s="558"/>
      <c r="O1028" s="558"/>
      <c r="P1028" s="558"/>
    </row>
    <row r="1029" spans="3:16" x14ac:dyDescent="0.2">
      <c r="C1029" s="558"/>
      <c r="D1029" s="558"/>
      <c r="E1029" s="558"/>
      <c r="F1029" s="558"/>
      <c r="G1029" s="558"/>
      <c r="H1029" s="558"/>
      <c r="I1029" s="558"/>
      <c r="J1029" s="558"/>
      <c r="K1029" s="558"/>
      <c r="L1029" s="558"/>
      <c r="M1029" s="573"/>
      <c r="N1029" s="558"/>
      <c r="O1029" s="558"/>
      <c r="P1029" s="558"/>
    </row>
    <row r="1030" spans="3:16" x14ac:dyDescent="0.2">
      <c r="C1030" s="558"/>
      <c r="D1030" s="558"/>
      <c r="E1030" s="558"/>
      <c r="F1030" s="558"/>
      <c r="G1030" s="558"/>
      <c r="H1030" s="558"/>
      <c r="I1030" s="558"/>
      <c r="J1030" s="558"/>
      <c r="K1030" s="558"/>
      <c r="L1030" s="558"/>
      <c r="M1030" s="573"/>
      <c r="N1030" s="558"/>
      <c r="O1030" s="558"/>
      <c r="P1030" s="558"/>
    </row>
    <row r="1031" spans="3:16" x14ac:dyDescent="0.2">
      <c r="C1031" s="558"/>
      <c r="D1031" s="558"/>
      <c r="E1031" s="558"/>
      <c r="F1031" s="558"/>
      <c r="G1031" s="558"/>
      <c r="H1031" s="558"/>
      <c r="I1031" s="558"/>
      <c r="J1031" s="558"/>
      <c r="K1031" s="558"/>
      <c r="L1031" s="558"/>
      <c r="M1031" s="573"/>
      <c r="N1031" s="558"/>
      <c r="O1031" s="558"/>
      <c r="P1031" s="558"/>
    </row>
    <row r="1032" spans="3:16" x14ac:dyDescent="0.2">
      <c r="C1032" s="558"/>
      <c r="D1032" s="558"/>
      <c r="E1032" s="558"/>
      <c r="F1032" s="558"/>
      <c r="G1032" s="558"/>
      <c r="H1032" s="558"/>
      <c r="I1032" s="558"/>
      <c r="J1032" s="558"/>
      <c r="K1032" s="558"/>
      <c r="L1032" s="558"/>
      <c r="M1032" s="573"/>
      <c r="N1032" s="558"/>
      <c r="O1032" s="558"/>
      <c r="P1032" s="558"/>
    </row>
    <row r="1033" spans="3:16" x14ac:dyDescent="0.2">
      <c r="C1033" s="558"/>
      <c r="D1033" s="558"/>
      <c r="E1033" s="558"/>
      <c r="F1033" s="558"/>
      <c r="G1033" s="558"/>
      <c r="H1033" s="558"/>
      <c r="I1033" s="558"/>
      <c r="J1033" s="558"/>
      <c r="K1033" s="558"/>
      <c r="L1033" s="558"/>
      <c r="M1033" s="573"/>
      <c r="N1033" s="558"/>
      <c r="O1033" s="558"/>
      <c r="P1033" s="558"/>
    </row>
    <row r="1034" spans="3:16" x14ac:dyDescent="0.2">
      <c r="C1034" s="558"/>
      <c r="D1034" s="558"/>
      <c r="E1034" s="558"/>
      <c r="F1034" s="558"/>
      <c r="G1034" s="558"/>
      <c r="H1034" s="558"/>
      <c r="I1034" s="558"/>
      <c r="J1034" s="558"/>
      <c r="K1034" s="558"/>
      <c r="L1034" s="558"/>
      <c r="M1034" s="573"/>
      <c r="N1034" s="558"/>
      <c r="O1034" s="558"/>
      <c r="P1034" s="558"/>
    </row>
    <row r="1035" spans="3:16" x14ac:dyDescent="0.2">
      <c r="C1035" s="558"/>
      <c r="D1035" s="558"/>
      <c r="E1035" s="558"/>
      <c r="F1035" s="558"/>
      <c r="G1035" s="558"/>
      <c r="H1035" s="558"/>
      <c r="I1035" s="558"/>
      <c r="J1035" s="558"/>
      <c r="K1035" s="558"/>
      <c r="L1035" s="558"/>
      <c r="M1035" s="573"/>
      <c r="N1035" s="558"/>
      <c r="O1035" s="558"/>
      <c r="P1035" s="558"/>
    </row>
    <row r="1036" spans="3:16" x14ac:dyDescent="0.2">
      <c r="C1036" s="558"/>
      <c r="D1036" s="558"/>
      <c r="E1036" s="558"/>
      <c r="F1036" s="558"/>
      <c r="G1036" s="558"/>
      <c r="H1036" s="558"/>
      <c r="I1036" s="558"/>
      <c r="J1036" s="558"/>
      <c r="K1036" s="558"/>
      <c r="L1036" s="558"/>
      <c r="M1036" s="573"/>
      <c r="N1036" s="558"/>
      <c r="O1036" s="558"/>
      <c r="P1036" s="558"/>
    </row>
    <row r="1037" spans="3:16" x14ac:dyDescent="0.2">
      <c r="C1037" s="558"/>
      <c r="D1037" s="558"/>
      <c r="E1037" s="558"/>
      <c r="F1037" s="558"/>
      <c r="G1037" s="558"/>
      <c r="H1037" s="558"/>
      <c r="I1037" s="558"/>
      <c r="J1037" s="558"/>
      <c r="K1037" s="558"/>
      <c r="L1037" s="558"/>
      <c r="M1037" s="573"/>
      <c r="N1037" s="558"/>
      <c r="O1037" s="558"/>
      <c r="P1037" s="558"/>
    </row>
    <row r="1038" spans="3:16" x14ac:dyDescent="0.2">
      <c r="C1038" s="558"/>
      <c r="D1038" s="558"/>
      <c r="E1038" s="558"/>
      <c r="F1038" s="558"/>
      <c r="G1038" s="558"/>
      <c r="H1038" s="558"/>
      <c r="I1038" s="558"/>
      <c r="J1038" s="558"/>
      <c r="K1038" s="558"/>
      <c r="L1038" s="558"/>
      <c r="M1038" s="573"/>
      <c r="N1038" s="558"/>
      <c r="O1038" s="558"/>
      <c r="P1038" s="558"/>
    </row>
    <row r="1039" spans="3:16" x14ac:dyDescent="0.2">
      <c r="C1039" s="558"/>
      <c r="D1039" s="558"/>
      <c r="E1039" s="558"/>
      <c r="F1039" s="558"/>
      <c r="G1039" s="558"/>
      <c r="H1039" s="558"/>
      <c r="I1039" s="558"/>
      <c r="J1039" s="558"/>
      <c r="K1039" s="558"/>
      <c r="L1039" s="558"/>
      <c r="M1039" s="573"/>
      <c r="N1039" s="558"/>
      <c r="O1039" s="558"/>
      <c r="P1039" s="558"/>
    </row>
    <row r="1040" spans="3:16" x14ac:dyDescent="0.2">
      <c r="C1040" s="558"/>
      <c r="D1040" s="558"/>
      <c r="E1040" s="558"/>
      <c r="F1040" s="558"/>
      <c r="G1040" s="558"/>
      <c r="H1040" s="558"/>
      <c r="I1040" s="558"/>
      <c r="J1040" s="558"/>
      <c r="K1040" s="558"/>
      <c r="L1040" s="558"/>
      <c r="M1040" s="573"/>
      <c r="N1040" s="558"/>
      <c r="O1040" s="558"/>
      <c r="P1040" s="558"/>
    </row>
    <row r="1041" spans="3:16" x14ac:dyDescent="0.2">
      <c r="C1041" s="558"/>
      <c r="D1041" s="558"/>
      <c r="E1041" s="558"/>
      <c r="F1041" s="558"/>
      <c r="G1041" s="558"/>
      <c r="H1041" s="558"/>
      <c r="I1041" s="558"/>
      <c r="J1041" s="558"/>
      <c r="K1041" s="558"/>
      <c r="L1041" s="558"/>
      <c r="M1041" s="573"/>
      <c r="N1041" s="558"/>
      <c r="O1041" s="558"/>
      <c r="P1041" s="558"/>
    </row>
    <row r="1042" spans="3:16" x14ac:dyDescent="0.2">
      <c r="C1042" s="558"/>
      <c r="D1042" s="558"/>
      <c r="E1042" s="558"/>
      <c r="F1042" s="558"/>
      <c r="G1042" s="558"/>
      <c r="H1042" s="558"/>
      <c r="I1042" s="558"/>
      <c r="J1042" s="558"/>
      <c r="K1042" s="558"/>
      <c r="L1042" s="558"/>
      <c r="M1042" s="573"/>
      <c r="N1042" s="558"/>
      <c r="O1042" s="558"/>
      <c r="P1042" s="558"/>
    </row>
    <row r="1043" spans="3:16" x14ac:dyDescent="0.2">
      <c r="C1043" s="558"/>
      <c r="D1043" s="558"/>
      <c r="E1043" s="558"/>
      <c r="F1043" s="558"/>
      <c r="G1043" s="558"/>
      <c r="H1043" s="558"/>
      <c r="I1043" s="558"/>
      <c r="J1043" s="558"/>
      <c r="K1043" s="558"/>
      <c r="L1043" s="558"/>
      <c r="M1043" s="573"/>
      <c r="N1043" s="558"/>
      <c r="O1043" s="558"/>
      <c r="P1043" s="558"/>
    </row>
    <row r="1044" spans="3:16" x14ac:dyDescent="0.2">
      <c r="C1044" s="558"/>
      <c r="D1044" s="558"/>
      <c r="E1044" s="558"/>
      <c r="F1044" s="558"/>
      <c r="G1044" s="558"/>
      <c r="H1044" s="558"/>
      <c r="I1044" s="558"/>
      <c r="J1044" s="558"/>
      <c r="K1044" s="558"/>
      <c r="L1044" s="558"/>
      <c r="M1044" s="573"/>
      <c r="N1044" s="558"/>
      <c r="O1044" s="558"/>
      <c r="P1044" s="558"/>
    </row>
    <row r="1045" spans="3:16" x14ac:dyDescent="0.2">
      <c r="C1045" s="558"/>
      <c r="D1045" s="558"/>
      <c r="E1045" s="558"/>
      <c r="F1045" s="558"/>
      <c r="G1045" s="558"/>
      <c r="H1045" s="558"/>
      <c r="I1045" s="558"/>
      <c r="J1045" s="558"/>
      <c r="K1045" s="558"/>
      <c r="L1045" s="558"/>
      <c r="M1045" s="573"/>
      <c r="N1045" s="558"/>
      <c r="O1045" s="558"/>
      <c r="P1045" s="558"/>
    </row>
    <row r="1046" spans="3:16" x14ac:dyDescent="0.2">
      <c r="C1046" s="558"/>
      <c r="D1046" s="558"/>
      <c r="E1046" s="558"/>
      <c r="F1046" s="558"/>
      <c r="G1046" s="558"/>
      <c r="H1046" s="558"/>
      <c r="I1046" s="558"/>
      <c r="J1046" s="558"/>
      <c r="K1046" s="558"/>
      <c r="L1046" s="558"/>
      <c r="M1046" s="573"/>
      <c r="N1046" s="558"/>
      <c r="O1046" s="558"/>
      <c r="P1046" s="558"/>
    </row>
    <row r="1047" spans="3:16" x14ac:dyDescent="0.2">
      <c r="C1047" s="558"/>
      <c r="D1047" s="558"/>
      <c r="E1047" s="558"/>
      <c r="F1047" s="558"/>
      <c r="G1047" s="558"/>
      <c r="H1047" s="558"/>
      <c r="I1047" s="558"/>
      <c r="J1047" s="558"/>
      <c r="K1047" s="558"/>
      <c r="L1047" s="558"/>
      <c r="M1047" s="573"/>
      <c r="N1047" s="558"/>
      <c r="O1047" s="558"/>
      <c r="P1047" s="558"/>
    </row>
    <row r="1048" spans="3:16" x14ac:dyDescent="0.2">
      <c r="C1048" s="558"/>
      <c r="D1048" s="558"/>
      <c r="E1048" s="558"/>
      <c r="F1048" s="558"/>
      <c r="G1048" s="558"/>
      <c r="H1048" s="558"/>
      <c r="I1048" s="558"/>
      <c r="J1048" s="558"/>
      <c r="K1048" s="558"/>
      <c r="L1048" s="558"/>
      <c r="M1048" s="573"/>
      <c r="N1048" s="558"/>
      <c r="O1048" s="558"/>
      <c r="P1048" s="558"/>
    </row>
    <row r="1049" spans="3:16" x14ac:dyDescent="0.2">
      <c r="C1049" s="558"/>
      <c r="D1049" s="558"/>
      <c r="E1049" s="558"/>
      <c r="F1049" s="558"/>
      <c r="G1049" s="558"/>
      <c r="H1049" s="558"/>
      <c r="I1049" s="558"/>
      <c r="J1049" s="558"/>
      <c r="K1049" s="558"/>
      <c r="L1049" s="558"/>
      <c r="M1049" s="573"/>
      <c r="N1049" s="558"/>
      <c r="O1049" s="558"/>
      <c r="P1049" s="558"/>
    </row>
    <row r="1050" spans="3:16" x14ac:dyDescent="0.2">
      <c r="C1050" s="558"/>
      <c r="D1050" s="558"/>
      <c r="E1050" s="558"/>
      <c r="F1050" s="558"/>
      <c r="G1050" s="558"/>
      <c r="H1050" s="558"/>
      <c r="I1050" s="558"/>
      <c r="J1050" s="558"/>
      <c r="K1050" s="558"/>
      <c r="L1050" s="558"/>
      <c r="M1050" s="573"/>
      <c r="N1050" s="558"/>
      <c r="O1050" s="558"/>
      <c r="P1050" s="558"/>
    </row>
    <row r="1051" spans="3:16" x14ac:dyDescent="0.2">
      <c r="C1051" s="558"/>
      <c r="D1051" s="558"/>
      <c r="E1051" s="558"/>
      <c r="F1051" s="558"/>
      <c r="G1051" s="558"/>
      <c r="H1051" s="558"/>
      <c r="I1051" s="558"/>
      <c r="J1051" s="558"/>
      <c r="K1051" s="558"/>
      <c r="L1051" s="558"/>
      <c r="M1051" s="573"/>
      <c r="N1051" s="558"/>
      <c r="O1051" s="558"/>
      <c r="P1051" s="558"/>
    </row>
    <row r="1052" spans="3:16" x14ac:dyDescent="0.2">
      <c r="C1052" s="558"/>
      <c r="D1052" s="558"/>
      <c r="E1052" s="558"/>
      <c r="F1052" s="558"/>
      <c r="G1052" s="558"/>
      <c r="H1052" s="558"/>
      <c r="I1052" s="558"/>
      <c r="J1052" s="558"/>
      <c r="K1052" s="558"/>
      <c r="L1052" s="558"/>
      <c r="M1052" s="573"/>
      <c r="N1052" s="558"/>
      <c r="O1052" s="558"/>
      <c r="P1052" s="558"/>
    </row>
    <row r="1053" spans="3:16" x14ac:dyDescent="0.2">
      <c r="C1053" s="558"/>
      <c r="D1053" s="558"/>
      <c r="E1053" s="558"/>
      <c r="F1053" s="558"/>
      <c r="G1053" s="558"/>
      <c r="H1053" s="558"/>
      <c r="I1053" s="558"/>
      <c r="J1053" s="558"/>
      <c r="K1053" s="558"/>
      <c r="L1053" s="558"/>
      <c r="M1053" s="573"/>
      <c r="N1053" s="558"/>
      <c r="O1053" s="558"/>
      <c r="P1053" s="558"/>
    </row>
    <row r="1054" spans="3:16" x14ac:dyDescent="0.2">
      <c r="C1054" s="558"/>
      <c r="D1054" s="558"/>
      <c r="E1054" s="558"/>
      <c r="F1054" s="558"/>
      <c r="G1054" s="558"/>
      <c r="H1054" s="558"/>
      <c r="I1054" s="558"/>
      <c r="J1054" s="558"/>
      <c r="K1054" s="558"/>
      <c r="L1054" s="558"/>
      <c r="M1054" s="573"/>
      <c r="N1054" s="558"/>
      <c r="O1054" s="558"/>
      <c r="P1054" s="558"/>
    </row>
    <row r="1055" spans="3:16" x14ac:dyDescent="0.2">
      <c r="C1055" s="558"/>
      <c r="D1055" s="558"/>
      <c r="E1055" s="558"/>
      <c r="F1055" s="558"/>
      <c r="G1055" s="558"/>
      <c r="H1055" s="558"/>
      <c r="I1055" s="558"/>
      <c r="J1055" s="558"/>
      <c r="K1055" s="558"/>
      <c r="L1055" s="558"/>
      <c r="M1055" s="573"/>
      <c r="N1055" s="558"/>
      <c r="O1055" s="558"/>
      <c r="P1055" s="558"/>
    </row>
    <row r="1056" spans="3:16" x14ac:dyDescent="0.2">
      <c r="C1056" s="558"/>
      <c r="D1056" s="558"/>
      <c r="E1056" s="558"/>
      <c r="F1056" s="558"/>
      <c r="G1056" s="558"/>
      <c r="H1056" s="558"/>
      <c r="I1056" s="558"/>
      <c r="J1056" s="558"/>
      <c r="K1056" s="558"/>
      <c r="L1056" s="558"/>
      <c r="M1056" s="573"/>
      <c r="N1056" s="558"/>
      <c r="O1056" s="558"/>
      <c r="P1056" s="558"/>
    </row>
    <row r="1057" spans="3:16" x14ac:dyDescent="0.2">
      <c r="C1057" s="558"/>
      <c r="D1057" s="558"/>
      <c r="E1057" s="558"/>
      <c r="F1057" s="558"/>
      <c r="G1057" s="558"/>
      <c r="H1057" s="558"/>
      <c r="I1057" s="558"/>
      <c r="J1057" s="558"/>
      <c r="K1057" s="558"/>
      <c r="L1057" s="558"/>
      <c r="M1057" s="573"/>
      <c r="N1057" s="558"/>
      <c r="O1057" s="558"/>
      <c r="P1057" s="558"/>
    </row>
    <row r="1058" spans="3:16" x14ac:dyDescent="0.2">
      <c r="C1058" s="558"/>
      <c r="D1058" s="558"/>
      <c r="E1058" s="558"/>
      <c r="F1058" s="558"/>
      <c r="G1058" s="558"/>
      <c r="H1058" s="558"/>
      <c r="I1058" s="558"/>
      <c r="J1058" s="558"/>
      <c r="K1058" s="558"/>
      <c r="L1058" s="558"/>
      <c r="M1058" s="573"/>
      <c r="N1058" s="558"/>
      <c r="O1058" s="558"/>
      <c r="P1058" s="558"/>
    </row>
    <row r="1059" spans="3:16" x14ac:dyDescent="0.2">
      <c r="C1059" s="558"/>
      <c r="D1059" s="558"/>
      <c r="E1059" s="558"/>
      <c r="F1059" s="558"/>
      <c r="G1059" s="558"/>
      <c r="H1059" s="558"/>
      <c r="I1059" s="558"/>
      <c r="J1059" s="558"/>
      <c r="K1059" s="558"/>
      <c r="L1059" s="558"/>
      <c r="M1059" s="573"/>
      <c r="N1059" s="558"/>
      <c r="O1059" s="558"/>
      <c r="P1059" s="558"/>
    </row>
    <row r="1060" spans="3:16" x14ac:dyDescent="0.2">
      <c r="C1060" s="558"/>
      <c r="D1060" s="558"/>
      <c r="E1060" s="558"/>
      <c r="F1060" s="558"/>
      <c r="G1060" s="558"/>
      <c r="H1060" s="558"/>
      <c r="I1060" s="558"/>
      <c r="J1060" s="558"/>
      <c r="K1060" s="558"/>
      <c r="L1060" s="558"/>
      <c r="M1060" s="573"/>
      <c r="N1060" s="558"/>
      <c r="O1060" s="558"/>
      <c r="P1060" s="558"/>
    </row>
    <row r="1061" spans="3:16" x14ac:dyDescent="0.2">
      <c r="C1061" s="558"/>
      <c r="D1061" s="558"/>
      <c r="E1061" s="558"/>
      <c r="F1061" s="558"/>
      <c r="G1061" s="558"/>
      <c r="H1061" s="558"/>
      <c r="I1061" s="558"/>
      <c r="J1061" s="558"/>
      <c r="K1061" s="558"/>
      <c r="L1061" s="558"/>
      <c r="M1061" s="573"/>
      <c r="N1061" s="558"/>
      <c r="O1061" s="558"/>
      <c r="P1061" s="558"/>
    </row>
    <row r="1062" spans="3:16" x14ac:dyDescent="0.2">
      <c r="C1062" s="558"/>
      <c r="D1062" s="558"/>
      <c r="E1062" s="558"/>
      <c r="F1062" s="558"/>
      <c r="G1062" s="558"/>
      <c r="H1062" s="558"/>
      <c r="I1062" s="558"/>
      <c r="J1062" s="558"/>
      <c r="K1062" s="558"/>
      <c r="L1062" s="558"/>
      <c r="M1062" s="573"/>
      <c r="N1062" s="558"/>
      <c r="O1062" s="558"/>
      <c r="P1062" s="558"/>
    </row>
    <row r="1063" spans="3:16" x14ac:dyDescent="0.2">
      <c r="C1063" s="558"/>
      <c r="D1063" s="558"/>
      <c r="E1063" s="558"/>
      <c r="F1063" s="558"/>
      <c r="G1063" s="558"/>
      <c r="H1063" s="558"/>
      <c r="I1063" s="558"/>
      <c r="J1063" s="558"/>
      <c r="K1063" s="558"/>
      <c r="L1063" s="558"/>
      <c r="M1063" s="573"/>
      <c r="N1063" s="558"/>
      <c r="O1063" s="558"/>
      <c r="P1063" s="558"/>
    </row>
    <row r="1064" spans="3:16" x14ac:dyDescent="0.2">
      <c r="C1064" s="558"/>
      <c r="D1064" s="558"/>
      <c r="E1064" s="558"/>
      <c r="F1064" s="558"/>
      <c r="G1064" s="558"/>
      <c r="H1064" s="558"/>
      <c r="I1064" s="558"/>
      <c r="J1064" s="558"/>
      <c r="K1064" s="558"/>
      <c r="L1064" s="558"/>
      <c r="M1064" s="573"/>
      <c r="N1064" s="558"/>
      <c r="O1064" s="558"/>
      <c r="P1064" s="558"/>
    </row>
    <row r="1065" spans="3:16" x14ac:dyDescent="0.2">
      <c r="C1065" s="558"/>
      <c r="D1065" s="558"/>
      <c r="E1065" s="558"/>
      <c r="F1065" s="558"/>
      <c r="G1065" s="558"/>
      <c r="H1065" s="558"/>
      <c r="I1065" s="558"/>
      <c r="J1065" s="558"/>
      <c r="K1065" s="558"/>
      <c r="L1065" s="558"/>
      <c r="M1065" s="573"/>
      <c r="N1065" s="558"/>
      <c r="O1065" s="558"/>
      <c r="P1065" s="558"/>
    </row>
    <row r="1066" spans="3:16" x14ac:dyDescent="0.2">
      <c r="C1066" s="558"/>
      <c r="D1066" s="558"/>
      <c r="E1066" s="558"/>
      <c r="F1066" s="558"/>
      <c r="G1066" s="558"/>
      <c r="H1066" s="558"/>
      <c r="I1066" s="558"/>
      <c r="J1066" s="558"/>
      <c r="K1066" s="558"/>
      <c r="L1066" s="558"/>
      <c r="M1066" s="573"/>
      <c r="N1066" s="558"/>
      <c r="O1066" s="558"/>
      <c r="P1066" s="558"/>
    </row>
    <row r="1067" spans="3:16" x14ac:dyDescent="0.2">
      <c r="C1067" s="558"/>
      <c r="D1067" s="558"/>
      <c r="E1067" s="558"/>
      <c r="F1067" s="558"/>
      <c r="G1067" s="558"/>
      <c r="H1067" s="558"/>
      <c r="I1067" s="558"/>
      <c r="J1067" s="558"/>
      <c r="K1067" s="558"/>
      <c r="L1067" s="558"/>
      <c r="M1067" s="573"/>
      <c r="N1067" s="558"/>
      <c r="O1067" s="558"/>
      <c r="P1067" s="558"/>
    </row>
    <row r="1068" spans="3:16" x14ac:dyDescent="0.2">
      <c r="C1068" s="558"/>
      <c r="D1068" s="558"/>
      <c r="E1068" s="558"/>
      <c r="F1068" s="558"/>
      <c r="G1068" s="558"/>
      <c r="H1068" s="558"/>
      <c r="I1068" s="558"/>
      <c r="J1068" s="558"/>
      <c r="K1068" s="558"/>
      <c r="L1068" s="558"/>
      <c r="M1068" s="573"/>
      <c r="N1068" s="558"/>
      <c r="O1068" s="558"/>
      <c r="P1068" s="558"/>
    </row>
    <row r="1069" spans="3:16" x14ac:dyDescent="0.2">
      <c r="C1069" s="558"/>
      <c r="D1069" s="558"/>
      <c r="E1069" s="558"/>
      <c r="F1069" s="558"/>
      <c r="G1069" s="558"/>
      <c r="H1069" s="558"/>
      <c r="I1069" s="558"/>
      <c r="J1069" s="558"/>
      <c r="K1069" s="558"/>
      <c r="L1069" s="558"/>
      <c r="M1069" s="573"/>
      <c r="N1069" s="558"/>
      <c r="O1069" s="558"/>
      <c r="P1069" s="558"/>
    </row>
    <row r="1070" spans="3:16" x14ac:dyDescent="0.2">
      <c r="C1070" s="558"/>
      <c r="D1070" s="558"/>
      <c r="E1070" s="558"/>
      <c r="F1070" s="558"/>
      <c r="G1070" s="558"/>
      <c r="H1070" s="558"/>
      <c r="I1070" s="558"/>
      <c r="J1070" s="558"/>
      <c r="K1070" s="558"/>
      <c r="L1070" s="558"/>
      <c r="M1070" s="573"/>
      <c r="N1070" s="558"/>
      <c r="O1070" s="558"/>
      <c r="P1070" s="558"/>
    </row>
    <row r="1071" spans="3:16" x14ac:dyDescent="0.2">
      <c r="C1071" s="558"/>
      <c r="D1071" s="558"/>
      <c r="E1071" s="558"/>
      <c r="F1071" s="558"/>
      <c r="G1071" s="558"/>
      <c r="H1071" s="558"/>
      <c r="I1071" s="558"/>
      <c r="J1071" s="558"/>
      <c r="K1071" s="558"/>
      <c r="L1071" s="558"/>
      <c r="M1071" s="573"/>
      <c r="N1071" s="558"/>
      <c r="O1071" s="558"/>
      <c r="P1071" s="558"/>
    </row>
  </sheetData>
  <mergeCells count="13">
    <mergeCell ref="A259:B259"/>
    <mergeCell ref="A1:L1"/>
    <mergeCell ref="A76:B76"/>
    <mergeCell ref="A223:B223"/>
    <mergeCell ref="A104:B104"/>
    <mergeCell ref="A232:B232"/>
    <mergeCell ref="A84:B84"/>
    <mergeCell ref="A4:B4"/>
    <mergeCell ref="A109:B109"/>
    <mergeCell ref="A227:B227"/>
    <mergeCell ref="A72:C72"/>
    <mergeCell ref="A80:B80"/>
    <mergeCell ref="A100:B100"/>
  </mergeCells>
  <phoneticPr fontId="3" type="noConversion"/>
  <pageMargins left="0.25" right="0.25" top="0.75" bottom="0.75" header="0.3" footer="0.3"/>
  <pageSetup paperSize="9" scale="10" orientation="landscape" r:id="rId1"/>
  <headerFooter alignWithMargins="0">
    <oddHeader>&amp;A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96"/>
  <sheetViews>
    <sheetView topLeftCell="A64" workbookViewId="0">
      <selection activeCell="C58" sqref="C58"/>
    </sheetView>
  </sheetViews>
  <sheetFormatPr defaultRowHeight="12.75" x14ac:dyDescent="0.2"/>
  <cols>
    <col min="1" max="1" width="35.85546875" customWidth="1"/>
    <col min="2" max="2" width="22" customWidth="1"/>
    <col min="3" max="3" width="17" customWidth="1"/>
    <col min="4" max="4" width="37.7109375" customWidth="1"/>
    <col min="5" max="5" width="14.5703125" bestFit="1" customWidth="1"/>
    <col min="6" max="6" width="17.5703125" customWidth="1"/>
    <col min="7" max="7" width="11.5703125" customWidth="1"/>
  </cols>
  <sheetData>
    <row r="1" spans="1:7" ht="37.5" customHeight="1" thickBot="1" x14ac:dyDescent="0.3">
      <c r="A1" s="2031" t="s">
        <v>586</v>
      </c>
      <c r="B1" s="2032"/>
      <c r="C1" s="2032"/>
      <c r="D1" s="2032"/>
      <c r="E1" s="2032"/>
      <c r="F1" s="2032"/>
      <c r="G1" s="261"/>
    </row>
    <row r="2" spans="1:7" ht="18.75" customHeight="1" thickBot="1" x14ac:dyDescent="0.25">
      <c r="A2" s="305"/>
      <c r="B2" s="391" t="s">
        <v>358</v>
      </c>
      <c r="C2" s="427" t="s">
        <v>646</v>
      </c>
      <c r="D2" s="389"/>
      <c r="E2" s="391" t="s">
        <v>358</v>
      </c>
      <c r="F2" s="1913" t="s">
        <v>646</v>
      </c>
    </row>
    <row r="3" spans="1:7" x14ac:dyDescent="0.2">
      <c r="A3" s="2033" t="s">
        <v>40</v>
      </c>
      <c r="B3" s="2034"/>
      <c r="C3" s="298"/>
      <c r="D3" s="2035" t="s">
        <v>121</v>
      </c>
      <c r="E3" s="2149"/>
      <c r="F3" s="2034"/>
    </row>
    <row r="4" spans="1:7" ht="13.5" thickBot="1" x14ac:dyDescent="0.25">
      <c r="A4" s="2150" t="s">
        <v>189</v>
      </c>
      <c r="B4" s="2151"/>
      <c r="C4" s="1779"/>
      <c r="D4" s="2152" t="s">
        <v>189</v>
      </c>
      <c r="E4" s="2152"/>
      <c r="F4" s="2153"/>
    </row>
    <row r="5" spans="1:7" x14ac:dyDescent="0.2">
      <c r="A5" s="1914"/>
      <c r="B5" s="310"/>
      <c r="C5" s="309"/>
      <c r="D5" s="237" t="s">
        <v>9</v>
      </c>
      <c r="E5" s="1038">
        <f>SUM('13.sz.melléklet'!C16)</f>
        <v>90972000</v>
      </c>
      <c r="F5" s="1915">
        <f>SUM('13.sz.melléklet'!C17)</f>
        <v>97371600</v>
      </c>
    </row>
    <row r="6" spans="1:7" x14ac:dyDescent="0.2">
      <c r="A6" s="50" t="s">
        <v>179</v>
      </c>
      <c r="B6" s="622">
        <f>SUM('13.sz.melléklet'!C30)</f>
        <v>0</v>
      </c>
      <c r="C6" s="392">
        <f>SUM('13.sz.melléklet'!C31)</f>
        <v>0</v>
      </c>
      <c r="D6" s="232" t="s">
        <v>316</v>
      </c>
      <c r="E6" s="1041">
        <f>SUM('13.sz.melléklet'!D16)</f>
        <v>17862000</v>
      </c>
      <c r="F6" s="1916">
        <f>SUM('13.sz.melléklet'!D17)</f>
        <v>18967591</v>
      </c>
    </row>
    <row r="7" spans="1:7" x14ac:dyDescent="0.2">
      <c r="A7" s="50" t="s">
        <v>314</v>
      </c>
      <c r="B7" s="622">
        <f>SUM('13.sz.melléklet'!D30)</f>
        <v>10180000</v>
      </c>
      <c r="C7" s="392">
        <f>SUM('13.sz.melléklet'!D31)</f>
        <v>10180000</v>
      </c>
      <c r="D7" s="232" t="s">
        <v>20</v>
      </c>
      <c r="E7" s="1041">
        <f>SUM('13.sz.melléklet'!E16)</f>
        <v>35548000</v>
      </c>
      <c r="F7" s="1916">
        <f>SUM('13.sz.melléklet'!E17)</f>
        <v>35548000</v>
      </c>
    </row>
    <row r="8" spans="1:7" x14ac:dyDescent="0.2">
      <c r="A8" s="399" t="s">
        <v>422</v>
      </c>
      <c r="B8" s="622"/>
      <c r="C8" s="392">
        <f>SUM('13.sz.melléklet'!F31)</f>
        <v>0</v>
      </c>
      <c r="D8" s="232" t="s">
        <v>317</v>
      </c>
      <c r="E8" s="1041"/>
      <c r="F8" s="59"/>
    </row>
    <row r="9" spans="1:7" ht="13.5" thickBot="1" x14ac:dyDescent="0.25">
      <c r="A9" s="233"/>
      <c r="B9" s="981"/>
      <c r="C9" s="311"/>
      <c r="D9" s="232" t="s">
        <v>223</v>
      </c>
      <c r="E9" s="1041"/>
      <c r="F9" s="59"/>
    </row>
    <row r="10" spans="1:7" ht="13.5" thickBot="1" x14ac:dyDescent="0.25">
      <c r="A10" s="234" t="s">
        <v>190</v>
      </c>
      <c r="B10" s="982">
        <f>SUM(B6:B9)</f>
        <v>10180000</v>
      </c>
      <c r="C10" s="428">
        <f>SUM(C6:C9)</f>
        <v>10180000</v>
      </c>
      <c r="D10" s="242" t="s">
        <v>193</v>
      </c>
      <c r="E10" s="283">
        <f>SUM(E5:E9)</f>
        <v>144382000</v>
      </c>
      <c r="F10" s="240">
        <f>SUM(F5:F9)</f>
        <v>151887191</v>
      </c>
    </row>
    <row r="11" spans="1:7" x14ac:dyDescent="0.2">
      <c r="A11" s="53" t="s">
        <v>100</v>
      </c>
      <c r="B11" s="983"/>
      <c r="C11" s="309"/>
      <c r="D11" s="237" t="s">
        <v>194</v>
      </c>
      <c r="E11" s="1038">
        <f>SUM('13.a.sz. melléklet'!D11)</f>
        <v>0</v>
      </c>
      <c r="F11" s="58">
        <f>SUM('13.a.sz. melléklet'!E11)</f>
        <v>0</v>
      </c>
    </row>
    <row r="12" spans="1:7" x14ac:dyDescent="0.2">
      <c r="A12" s="50" t="s">
        <v>315</v>
      </c>
      <c r="B12" s="622"/>
      <c r="C12" s="300"/>
      <c r="D12" s="232" t="s">
        <v>318</v>
      </c>
      <c r="E12" s="1041">
        <f>SUM('13.a.sz. melléklet'!I11)</f>
        <v>5700000</v>
      </c>
      <c r="F12" s="59">
        <f>SUM('13.a.sz. melléklet'!J11)</f>
        <v>5700000</v>
      </c>
    </row>
    <row r="13" spans="1:7" ht="13.5" thickBot="1" x14ac:dyDescent="0.25">
      <c r="A13" s="270"/>
      <c r="B13" s="984"/>
      <c r="C13" s="311"/>
      <c r="D13" s="236" t="s">
        <v>298</v>
      </c>
      <c r="E13" s="1042"/>
      <c r="F13" s="1917"/>
    </row>
    <row r="14" spans="1:7" ht="13.5" thickBot="1" x14ac:dyDescent="0.25">
      <c r="A14" s="234" t="s">
        <v>13</v>
      </c>
      <c r="B14" s="623">
        <f>SUM(B11:B12)</f>
        <v>0</v>
      </c>
      <c r="C14" s="1777">
        <f>SUM(C12:C13)</f>
        <v>0</v>
      </c>
      <c r="D14" s="242" t="s">
        <v>195</v>
      </c>
      <c r="E14" s="283">
        <f>SUM(E11:E13)</f>
        <v>5700000</v>
      </c>
      <c r="F14" s="240">
        <f>SUM(F11:F13)</f>
        <v>5700000</v>
      </c>
    </row>
    <row r="15" spans="1:7" x14ac:dyDescent="0.2">
      <c r="A15" s="582" t="s">
        <v>404</v>
      </c>
      <c r="B15" s="984"/>
      <c r="C15" s="436">
        <f>SUM('13.sz.melléklet'!G28)</f>
        <v>0</v>
      </c>
      <c r="D15" s="437"/>
      <c r="E15" s="1043"/>
      <c r="F15" s="1918"/>
    </row>
    <row r="16" spans="1:7" ht="13.5" thickBot="1" x14ac:dyDescent="0.25">
      <c r="A16" s="233" t="s">
        <v>191</v>
      </c>
      <c r="B16" s="981">
        <f>SUM('13.sz.melléklet'!E30)</f>
        <v>139902000</v>
      </c>
      <c r="C16" s="385">
        <f>SUM('13.sz.melléklet'!E31)</f>
        <v>147407191</v>
      </c>
      <c r="D16" s="438"/>
      <c r="E16" s="326"/>
      <c r="F16" s="1919"/>
    </row>
    <row r="17" spans="1:6" ht="13.5" thickBot="1" x14ac:dyDescent="0.25">
      <c r="A17" s="234" t="s">
        <v>319</v>
      </c>
      <c r="B17" s="982">
        <f>SUM(B16:B16)</f>
        <v>139902000</v>
      </c>
      <c r="C17" s="428">
        <f>SUM(C16+C15)</f>
        <v>147407191</v>
      </c>
      <c r="D17" s="242" t="s">
        <v>124</v>
      </c>
      <c r="E17" s="283">
        <f>SUM(E15:E16)</f>
        <v>0</v>
      </c>
      <c r="F17" s="240">
        <f>SUM(F16)</f>
        <v>0</v>
      </c>
    </row>
    <row r="18" spans="1:6" ht="13.5" thickBot="1" x14ac:dyDescent="0.25">
      <c r="A18" s="132"/>
      <c r="B18" s="1920"/>
      <c r="C18" s="235"/>
      <c r="D18" s="1221"/>
      <c r="E18" s="1920"/>
      <c r="F18" s="1775"/>
    </row>
    <row r="19" spans="1:6" ht="13.5" thickBot="1" x14ac:dyDescent="0.25">
      <c r="A19" s="234"/>
      <c r="B19" s="982"/>
      <c r="C19" s="246"/>
      <c r="D19" s="242"/>
      <c r="E19" s="283"/>
      <c r="F19" s="240"/>
    </row>
    <row r="20" spans="1:6" ht="13.5" thickBot="1" x14ac:dyDescent="0.25">
      <c r="A20" s="234" t="s">
        <v>192</v>
      </c>
      <c r="B20" s="982">
        <f>B10+B14+B17</f>
        <v>150082000</v>
      </c>
      <c r="C20" s="428">
        <f>SUM(C17+C14+C10)</f>
        <v>157587191</v>
      </c>
      <c r="D20" s="242" t="s">
        <v>200</v>
      </c>
      <c r="E20" s="283">
        <f>SUM(+E14+E10)</f>
        <v>150082000</v>
      </c>
      <c r="F20" s="240">
        <f>SUM(F10+F14+F17)</f>
        <v>157587191</v>
      </c>
    </row>
    <row r="21" spans="1:6" ht="13.5" thickBot="1" x14ac:dyDescent="0.25">
      <c r="A21" s="132"/>
      <c r="B21" s="1040"/>
      <c r="C21" s="244"/>
      <c r="D21" s="245"/>
      <c r="E21" s="1044"/>
      <c r="F21" s="1921"/>
    </row>
    <row r="22" spans="1:6" ht="13.5" thickBot="1" x14ac:dyDescent="0.25">
      <c r="A22" s="2141" t="s">
        <v>56</v>
      </c>
      <c r="B22" s="2142"/>
      <c r="C22" s="1776"/>
      <c r="D22" s="2143" t="s">
        <v>56</v>
      </c>
      <c r="E22" s="2143"/>
      <c r="F22" s="2142"/>
    </row>
    <row r="23" spans="1:6" ht="13.5" thickBot="1" x14ac:dyDescent="0.25">
      <c r="A23" s="1914"/>
      <c r="B23" s="239"/>
      <c r="C23" s="1775"/>
      <c r="D23" s="238"/>
      <c r="E23" s="1221"/>
      <c r="F23" s="1922"/>
    </row>
    <row r="24" spans="1:6" x14ac:dyDescent="0.2">
      <c r="A24" s="1914"/>
      <c r="B24" s="239"/>
      <c r="C24" s="309"/>
      <c r="D24" s="439" t="s">
        <v>9</v>
      </c>
      <c r="E24" s="1045">
        <f>SUM('14.sz.melléklet'!C19)</f>
        <v>113827000</v>
      </c>
      <c r="F24" s="1923">
        <f>SUM('14.sz.melléklet'!C20)</f>
        <v>121105000</v>
      </c>
    </row>
    <row r="25" spans="1:6" x14ac:dyDescent="0.2">
      <c r="A25" s="50" t="s">
        <v>179</v>
      </c>
      <c r="B25" s="622"/>
      <c r="C25" s="300"/>
      <c r="D25" s="232" t="s">
        <v>316</v>
      </c>
      <c r="E25" s="128">
        <f>SUM('14.sz.melléklet'!D19)</f>
        <v>20909000</v>
      </c>
      <c r="F25" s="1916">
        <f>SUM('14.sz.melléklet'!D20)</f>
        <v>24183200</v>
      </c>
    </row>
    <row r="26" spans="1:6" x14ac:dyDescent="0.2">
      <c r="A26" s="50" t="s">
        <v>314</v>
      </c>
      <c r="B26" s="622">
        <f>SUM('14.sz.melléklet'!C36)</f>
        <v>4158000</v>
      </c>
      <c r="C26" s="392">
        <f>SUM('14.sz.melléklet'!C37)</f>
        <v>4158000</v>
      </c>
      <c r="D26" s="232" t="s">
        <v>20</v>
      </c>
      <c r="E26" s="128">
        <f>SUM('14.sz.melléklet'!E19)</f>
        <v>51589000</v>
      </c>
      <c r="F26" s="1916">
        <f>SUM('14.sz.melléklet'!E20)</f>
        <v>51589000</v>
      </c>
    </row>
    <row r="27" spans="1:6" x14ac:dyDescent="0.2">
      <c r="A27" s="399" t="s">
        <v>423</v>
      </c>
      <c r="B27" s="622"/>
      <c r="C27" s="300"/>
      <c r="D27" s="232" t="s">
        <v>317</v>
      </c>
      <c r="E27" s="1041"/>
      <c r="F27" s="59"/>
    </row>
    <row r="28" spans="1:6" ht="13.5" thickBot="1" x14ac:dyDescent="0.25">
      <c r="A28" s="233"/>
      <c r="B28" s="981"/>
      <c r="C28" s="311"/>
      <c r="D28" s="232" t="s">
        <v>223</v>
      </c>
      <c r="E28" s="1041"/>
      <c r="F28" s="59"/>
    </row>
    <row r="29" spans="1:6" ht="13.5" thickBot="1" x14ac:dyDescent="0.25">
      <c r="A29" s="234" t="s">
        <v>190</v>
      </c>
      <c r="B29" s="982">
        <f>SUM(B25:B28)</f>
        <v>4158000</v>
      </c>
      <c r="C29" s="428">
        <f>SUM(C26:C28)</f>
        <v>4158000</v>
      </c>
      <c r="D29" s="242" t="s">
        <v>193</v>
      </c>
      <c r="E29" s="283">
        <f>SUM(E24:E28)</f>
        <v>186325000</v>
      </c>
      <c r="F29" s="240">
        <f>SUM(F24:F28)</f>
        <v>196877200</v>
      </c>
    </row>
    <row r="30" spans="1:6" x14ac:dyDescent="0.2">
      <c r="A30" s="53" t="s">
        <v>100</v>
      </c>
      <c r="B30" s="983"/>
      <c r="C30" s="309"/>
      <c r="D30" s="237" t="s">
        <v>194</v>
      </c>
      <c r="E30" s="1038">
        <f>SUM('14.a.sz. melléklet'!D19)</f>
        <v>0</v>
      </c>
      <c r="F30" s="58">
        <f>SUM('14.a.sz. melléklet'!E19)</f>
        <v>0</v>
      </c>
    </row>
    <row r="31" spans="1:6" x14ac:dyDescent="0.2">
      <c r="A31" s="50" t="s">
        <v>315</v>
      </c>
      <c r="B31" s="622"/>
      <c r="C31" s="300"/>
      <c r="D31" s="232" t="s">
        <v>318</v>
      </c>
      <c r="E31" s="1041">
        <f>SUM('14.a.sz. melléklet'!H19)</f>
        <v>3663000</v>
      </c>
      <c r="F31" s="59">
        <f>SUM('14.a.sz. melléklet'!I19)</f>
        <v>3663000</v>
      </c>
    </row>
    <row r="32" spans="1:6" ht="13.5" thickBot="1" x14ac:dyDescent="0.25">
      <c r="A32" s="270"/>
      <c r="B32" s="984"/>
      <c r="C32" s="311"/>
      <c r="D32" s="236" t="s">
        <v>298</v>
      </c>
      <c r="E32" s="1042"/>
      <c r="F32" s="1917"/>
    </row>
    <row r="33" spans="1:6" ht="13.5" thickBot="1" x14ac:dyDescent="0.25">
      <c r="A33" s="234" t="s">
        <v>13</v>
      </c>
      <c r="B33" s="623">
        <f>SUM(B30:B31)</f>
        <v>0</v>
      </c>
      <c r="C33" s="1777">
        <f>SUM(C31:C32)</f>
        <v>0</v>
      </c>
      <c r="D33" s="242" t="s">
        <v>195</v>
      </c>
      <c r="E33" s="283">
        <f>SUM(E30:E32)</f>
        <v>3663000</v>
      </c>
      <c r="F33" s="240">
        <f>SUM(F30:F32)</f>
        <v>3663000</v>
      </c>
    </row>
    <row r="34" spans="1:6" x14ac:dyDescent="0.2">
      <c r="A34" s="394" t="s">
        <v>383</v>
      </c>
      <c r="B34" s="984"/>
      <c r="C34" s="309"/>
      <c r="D34" s="437"/>
      <c r="E34" s="1043"/>
      <c r="F34" s="1918"/>
    </row>
    <row r="35" spans="1:6" ht="13.5" thickBot="1" x14ac:dyDescent="0.25">
      <c r="A35" s="233" t="s">
        <v>191</v>
      </c>
      <c r="B35" s="981">
        <f>SUM('14.sz.melléklet'!E36)</f>
        <v>185830000</v>
      </c>
      <c r="C35" s="385">
        <f>SUM('14.sz.melléklet'!D63)</f>
        <v>196382200</v>
      </c>
      <c r="D35" s="438"/>
      <c r="E35" s="326"/>
      <c r="F35" s="1919"/>
    </row>
    <row r="36" spans="1:6" ht="13.5" thickBot="1" x14ac:dyDescent="0.25">
      <c r="A36" s="234" t="s">
        <v>319</v>
      </c>
      <c r="B36" s="982">
        <f>SUM(B35:B35)</f>
        <v>185830000</v>
      </c>
      <c r="C36" s="246">
        <f>SUM(C34:C35)</f>
        <v>196382200</v>
      </c>
      <c r="D36" s="242" t="s">
        <v>124</v>
      </c>
      <c r="E36" s="283">
        <f>SUM(E35)</f>
        <v>0</v>
      </c>
      <c r="F36" s="240">
        <f>SUM(F35)</f>
        <v>0</v>
      </c>
    </row>
    <row r="37" spans="1:6" ht="13.5" thickBot="1" x14ac:dyDescent="0.25">
      <c r="A37" s="132"/>
      <c r="B37" s="1920"/>
      <c r="C37" s="1775"/>
      <c r="D37" s="1221"/>
      <c r="E37" s="1920"/>
      <c r="F37" s="1775"/>
    </row>
    <row r="38" spans="1:6" ht="13.5" thickBot="1" x14ac:dyDescent="0.25">
      <c r="A38" s="234"/>
      <c r="B38" s="982"/>
      <c r="C38" s="246"/>
      <c r="D38" s="242"/>
      <c r="E38" s="283"/>
      <c r="F38" s="240"/>
    </row>
    <row r="39" spans="1:6" ht="13.5" thickBot="1" x14ac:dyDescent="0.25">
      <c r="A39" s="234" t="s">
        <v>192</v>
      </c>
      <c r="B39" s="982">
        <f>B29+B33+B36</f>
        <v>189988000</v>
      </c>
      <c r="C39" s="428">
        <f>SUM(C36+C33+C29)</f>
        <v>200540200</v>
      </c>
      <c r="D39" s="242" t="s">
        <v>200</v>
      </c>
      <c r="E39" s="283">
        <f>SUM(+E33+E29)</f>
        <v>189988000</v>
      </c>
      <c r="F39" s="240">
        <f>F29+F33+F35+F36</f>
        <v>200540200</v>
      </c>
    </row>
    <row r="40" spans="1:6" ht="13.5" thickBot="1" x14ac:dyDescent="0.25">
      <c r="A40" s="123"/>
      <c r="B40" s="246"/>
      <c r="C40" s="246"/>
      <c r="D40" s="1778"/>
      <c r="E40" s="1778"/>
      <c r="F40" s="246"/>
    </row>
    <row r="41" spans="1:6" ht="13.5" thickBot="1" x14ac:dyDescent="0.25">
      <c r="A41" s="2147" t="s">
        <v>637</v>
      </c>
      <c r="B41" s="2142"/>
      <c r="C41" s="1776"/>
      <c r="D41" s="2148" t="s">
        <v>637</v>
      </c>
      <c r="E41" s="2143"/>
      <c r="F41" s="2142"/>
    </row>
    <row r="42" spans="1:6" ht="13.5" thickBot="1" x14ac:dyDescent="0.25">
      <c r="A42" s="1914"/>
      <c r="B42" s="239"/>
      <c r="C42" s="1775"/>
      <c r="D42" s="237"/>
      <c r="E42" s="8"/>
      <c r="F42" s="58"/>
    </row>
    <row r="43" spans="1:6" x14ac:dyDescent="0.2">
      <c r="A43" s="1914"/>
      <c r="B43" s="239"/>
      <c r="C43" s="309"/>
      <c r="D43" s="237" t="s">
        <v>9</v>
      </c>
      <c r="E43" s="1038">
        <f>SUM('15.sz.melléklet'!C16)</f>
        <v>30096000</v>
      </c>
      <c r="F43" s="1915">
        <f>SUM('15.sz.melléklet'!C17)</f>
        <v>32140800</v>
      </c>
    </row>
    <row r="44" spans="1:6" x14ac:dyDescent="0.2">
      <c r="A44" s="50" t="s">
        <v>179</v>
      </c>
      <c r="B44" s="622"/>
      <c r="C44" s="300"/>
      <c r="D44" s="232" t="s">
        <v>316</v>
      </c>
      <c r="E44" s="1041">
        <f>SUM('15.sz.melléklet'!D16)</f>
        <v>5759000</v>
      </c>
      <c r="F44" s="1916">
        <f>SUM('15.sz.melléklet'!D17)</f>
        <v>6117000</v>
      </c>
    </row>
    <row r="45" spans="1:6" x14ac:dyDescent="0.2">
      <c r="A45" s="50" t="s">
        <v>314</v>
      </c>
      <c r="B45" s="622">
        <f>SUM('15.sz.melléklet'!C30)</f>
        <v>6835000</v>
      </c>
      <c r="C45" s="392">
        <f>SUM('15.sz.melléklet'!C31)</f>
        <v>6835000</v>
      </c>
      <c r="D45" s="232" t="s">
        <v>20</v>
      </c>
      <c r="E45" s="1041">
        <f>SUM('15.sz.melléklet'!E16)</f>
        <v>29454000</v>
      </c>
      <c r="F45" s="1916">
        <f>SUM('15.sz.melléklet'!E17)</f>
        <v>29454000</v>
      </c>
    </row>
    <row r="46" spans="1:6" x14ac:dyDescent="0.2">
      <c r="A46" s="399" t="s">
        <v>424</v>
      </c>
      <c r="B46" s="622">
        <f>SUM('15.sz.melléklet'!E30)</f>
        <v>1300000</v>
      </c>
      <c r="C46" s="622">
        <f>SUM('15.sz.melléklet'!E31)</f>
        <v>1300000</v>
      </c>
      <c r="D46" s="232" t="s">
        <v>317</v>
      </c>
      <c r="E46" s="1041"/>
      <c r="F46" s="59"/>
    </row>
    <row r="47" spans="1:6" ht="13.5" thickBot="1" x14ac:dyDescent="0.25">
      <c r="A47" s="233"/>
      <c r="B47" s="981"/>
      <c r="C47" s="311"/>
      <c r="D47" s="232" t="s">
        <v>223</v>
      </c>
      <c r="E47" s="1041"/>
      <c r="F47" s="59"/>
    </row>
    <row r="48" spans="1:6" ht="13.5" thickBot="1" x14ac:dyDescent="0.25">
      <c r="A48" s="234" t="s">
        <v>190</v>
      </c>
      <c r="B48" s="982">
        <f>SUM(B44:B47)</f>
        <v>8135000</v>
      </c>
      <c r="C48" s="428">
        <f>SUM(C45:C47)</f>
        <v>8135000</v>
      </c>
      <c r="D48" s="242" t="s">
        <v>193</v>
      </c>
      <c r="E48" s="283">
        <f>SUM(E43:E47)</f>
        <v>65309000</v>
      </c>
      <c r="F48" s="240">
        <f>SUM(F43:F47)</f>
        <v>67711800</v>
      </c>
    </row>
    <row r="49" spans="1:6" x14ac:dyDescent="0.2">
      <c r="A49" s="53" t="s">
        <v>100</v>
      </c>
      <c r="B49" s="983"/>
      <c r="C49" s="309"/>
      <c r="D49" s="237" t="s">
        <v>194</v>
      </c>
      <c r="E49" s="1038">
        <f>SUM('15.a.sz.melléklet'!D13)</f>
        <v>0</v>
      </c>
      <c r="F49" s="58">
        <f>SUM('15.a.sz.melléklet'!E13)</f>
        <v>0</v>
      </c>
    </row>
    <row r="50" spans="1:6" x14ac:dyDescent="0.2">
      <c r="A50" s="50" t="s">
        <v>315</v>
      </c>
      <c r="B50" s="622"/>
      <c r="C50" s="300"/>
      <c r="D50" s="232" t="s">
        <v>318</v>
      </c>
      <c r="E50" s="1041">
        <f>SUM('15.a.sz.melléklet'!H13)</f>
        <v>4590000</v>
      </c>
      <c r="F50" s="622">
        <f>SUM('15.a.sz.melléklet'!I13)</f>
        <v>5534000</v>
      </c>
    </row>
    <row r="51" spans="1:6" ht="13.5" thickBot="1" x14ac:dyDescent="0.25">
      <c r="A51" s="270"/>
      <c r="B51" s="984"/>
      <c r="C51" s="311"/>
      <c r="D51" s="236" t="s">
        <v>298</v>
      </c>
      <c r="E51" s="1042"/>
      <c r="F51" s="1917"/>
    </row>
    <row r="52" spans="1:6" ht="13.5" thickBot="1" x14ac:dyDescent="0.25">
      <c r="A52" s="234" t="s">
        <v>13</v>
      </c>
      <c r="B52" s="623">
        <f>SUM(B49:B50)</f>
        <v>0</v>
      </c>
      <c r="C52" s="1777">
        <f>SUM(C49:C51)</f>
        <v>0</v>
      </c>
      <c r="D52" s="242" t="s">
        <v>195</v>
      </c>
      <c r="E52" s="283">
        <f>SUM(E49:E51)</f>
        <v>4590000</v>
      </c>
      <c r="F52" s="240">
        <f>SUM(F49:F51)</f>
        <v>5534000</v>
      </c>
    </row>
    <row r="53" spans="1:6" x14ac:dyDescent="0.2">
      <c r="A53" s="271"/>
      <c r="B53" s="984"/>
      <c r="C53" s="205"/>
      <c r="D53" s="437"/>
      <c r="E53" s="1043"/>
      <c r="F53" s="1918"/>
    </row>
    <row r="54" spans="1:6" ht="13.5" thickBot="1" x14ac:dyDescent="0.25">
      <c r="A54" s="233" t="s">
        <v>191</v>
      </c>
      <c r="B54" s="981">
        <f>SUM('15.sz.melléklet'!D30)</f>
        <v>61764000</v>
      </c>
      <c r="C54" s="205">
        <f>SUM('15.sz.melléklet'!D31)</f>
        <v>65110800</v>
      </c>
      <c r="D54" s="438"/>
      <c r="E54" s="326"/>
      <c r="F54" s="1919"/>
    </row>
    <row r="55" spans="1:6" ht="13.5" thickBot="1" x14ac:dyDescent="0.25">
      <c r="A55" s="234" t="s">
        <v>319</v>
      </c>
      <c r="B55" s="982">
        <f>SUM(B54:B54)</f>
        <v>61764000</v>
      </c>
      <c r="C55" s="428">
        <f>SUM(C54)</f>
        <v>65110800</v>
      </c>
      <c r="D55" s="242" t="s">
        <v>124</v>
      </c>
      <c r="E55" s="283">
        <f>SUM(E54)</f>
        <v>0</v>
      </c>
      <c r="F55" s="240">
        <f>SUM(F54)</f>
        <v>0</v>
      </c>
    </row>
    <row r="56" spans="1:6" ht="13.5" thickBot="1" x14ac:dyDescent="0.25">
      <c r="A56" s="132"/>
      <c r="B56" s="1920"/>
      <c r="C56" s="1775"/>
      <c r="D56" s="1221"/>
      <c r="E56" s="1920"/>
      <c r="F56" s="1775"/>
    </row>
    <row r="57" spans="1:6" ht="13.5" thickBot="1" x14ac:dyDescent="0.25">
      <c r="A57" s="234"/>
      <c r="B57" s="982"/>
      <c r="C57" s="246"/>
      <c r="D57" s="242"/>
      <c r="E57" s="283"/>
      <c r="F57" s="240"/>
    </row>
    <row r="58" spans="1:6" ht="13.5" thickBot="1" x14ac:dyDescent="0.25">
      <c r="A58" s="234" t="s">
        <v>192</v>
      </c>
      <c r="B58" s="982">
        <f>B48+B52+B55</f>
        <v>69899000</v>
      </c>
      <c r="C58" s="428">
        <f>SUM(C55+C52+C48)</f>
        <v>73245800</v>
      </c>
      <c r="D58" s="242" t="s">
        <v>200</v>
      </c>
      <c r="E58" s="283">
        <f>SUM(E55+E52+E48)</f>
        <v>69899000</v>
      </c>
      <c r="F58" s="240">
        <f>F48+F52+F54+F55</f>
        <v>73245800</v>
      </c>
    </row>
    <row r="59" spans="1:6" ht="13.5" thickBot="1" x14ac:dyDescent="0.25">
      <c r="A59" s="123"/>
      <c r="B59" s="246"/>
      <c r="C59" s="246"/>
      <c r="D59" s="1778"/>
      <c r="E59" s="1778"/>
      <c r="F59" s="246"/>
    </row>
    <row r="60" spans="1:6" ht="13.5" thickBot="1" x14ac:dyDescent="0.25">
      <c r="A60" s="2141" t="s">
        <v>199</v>
      </c>
      <c r="B60" s="2142"/>
      <c r="C60" s="1776"/>
      <c r="D60" s="2143" t="s">
        <v>199</v>
      </c>
      <c r="E60" s="2143"/>
      <c r="F60" s="2142"/>
    </row>
    <row r="61" spans="1:6" ht="13.5" thickBot="1" x14ac:dyDescent="0.25">
      <c r="A61" s="1914"/>
      <c r="B61" s="239"/>
      <c r="C61" s="1775"/>
      <c r="D61" s="238"/>
      <c r="E61" s="1221"/>
      <c r="F61" s="1922"/>
    </row>
    <row r="62" spans="1:6" x14ac:dyDescent="0.2">
      <c r="A62" s="1914"/>
      <c r="B62" s="239"/>
      <c r="C62" s="309"/>
      <c r="D62" s="439" t="s">
        <v>9</v>
      </c>
      <c r="E62" s="1045">
        <f>SUM('16.sz. melléklet'!C19)</f>
        <v>51626000</v>
      </c>
      <c r="F62" s="1923">
        <f>SUM('16.sz. melléklet'!C20)</f>
        <v>54790400</v>
      </c>
    </row>
    <row r="63" spans="1:6" x14ac:dyDescent="0.2">
      <c r="A63" s="50" t="s">
        <v>179</v>
      </c>
      <c r="B63" s="622"/>
      <c r="C63" s="300"/>
      <c r="D63" s="232" t="s">
        <v>316</v>
      </c>
      <c r="E63" s="128">
        <f>SUM('16.sz. melléklet'!D19)</f>
        <v>9234000</v>
      </c>
      <c r="F63" s="1916">
        <f>SUM('16.sz. melléklet'!D20)</f>
        <v>9788000</v>
      </c>
    </row>
    <row r="64" spans="1:6" x14ac:dyDescent="0.2">
      <c r="A64" s="50" t="s">
        <v>314</v>
      </c>
      <c r="B64" s="622">
        <f>SUM('16.sz. melléklet'!C33)</f>
        <v>481000</v>
      </c>
      <c r="C64" s="392">
        <f>SUM('16.sz. melléklet'!C34)</f>
        <v>481000</v>
      </c>
      <c r="D64" s="232" t="s">
        <v>20</v>
      </c>
      <c r="E64" s="128">
        <f>SUM('16.sz. melléklet'!E19)</f>
        <v>15124000</v>
      </c>
      <c r="F64" s="1916">
        <f>SUM('16.sz. melléklet'!E20)</f>
        <v>15124000</v>
      </c>
    </row>
    <row r="65" spans="1:6" x14ac:dyDescent="0.2">
      <c r="A65" s="50"/>
      <c r="B65" s="622"/>
      <c r="C65" s="300"/>
      <c r="D65" s="232" t="s">
        <v>317</v>
      </c>
      <c r="E65" s="128"/>
      <c r="F65" s="59"/>
    </row>
    <row r="66" spans="1:6" ht="13.5" thickBot="1" x14ac:dyDescent="0.25">
      <c r="A66" s="233"/>
      <c r="B66" s="981"/>
      <c r="C66" s="311"/>
      <c r="D66" s="438" t="s">
        <v>223</v>
      </c>
      <c r="E66" s="326"/>
      <c r="F66" s="1919"/>
    </row>
    <row r="67" spans="1:6" ht="13.5" thickBot="1" x14ac:dyDescent="0.25">
      <c r="A67" s="234" t="s">
        <v>190</v>
      </c>
      <c r="B67" s="982">
        <f>SUM(B63:B66)</f>
        <v>481000</v>
      </c>
      <c r="C67" s="428">
        <f>SUM(C64:C66)</f>
        <v>481000</v>
      </c>
      <c r="D67" s="242" t="s">
        <v>193</v>
      </c>
      <c r="E67" s="283">
        <f>SUM(E62:E66)</f>
        <v>75984000</v>
      </c>
      <c r="F67" s="240">
        <f>SUM(F62:F66)</f>
        <v>79702400</v>
      </c>
    </row>
    <row r="68" spans="1:6" x14ac:dyDescent="0.2">
      <c r="A68" s="53" t="s">
        <v>100</v>
      </c>
      <c r="B68" s="983"/>
      <c r="C68" s="309"/>
      <c r="D68" s="237" t="s">
        <v>194</v>
      </c>
      <c r="E68" s="1038">
        <f>SUM('16.a.sz. melléklet'!D12)</f>
        <v>0</v>
      </c>
      <c r="F68" s="58">
        <f>SUM('16.a.sz. melléklet'!E12)</f>
        <v>0</v>
      </c>
    </row>
    <row r="69" spans="1:6" x14ac:dyDescent="0.2">
      <c r="A69" s="50" t="s">
        <v>315</v>
      </c>
      <c r="B69" s="622"/>
      <c r="C69" s="300"/>
      <c r="D69" s="232" t="s">
        <v>318</v>
      </c>
      <c r="E69" s="1041">
        <f>SUM('16.a.sz. melléklet'!H12)</f>
        <v>2920000</v>
      </c>
      <c r="F69" s="59">
        <f>SUM('16.a.sz. melléklet'!I12)</f>
        <v>2920000</v>
      </c>
    </row>
    <row r="70" spans="1:6" ht="13.5" thickBot="1" x14ac:dyDescent="0.25">
      <c r="A70" s="270"/>
      <c r="B70" s="984"/>
      <c r="C70" s="311"/>
      <c r="D70" s="236" t="s">
        <v>298</v>
      </c>
      <c r="E70" s="1042"/>
      <c r="F70" s="1917"/>
    </row>
    <row r="71" spans="1:6" ht="13.5" thickBot="1" x14ac:dyDescent="0.25">
      <c r="A71" s="234" t="s">
        <v>13</v>
      </c>
      <c r="B71" s="623">
        <f>SUM(B68:B69)</f>
        <v>0</v>
      </c>
      <c r="C71" s="1777">
        <f>SUM(C69:C70)</f>
        <v>0</v>
      </c>
      <c r="D71" s="242" t="s">
        <v>195</v>
      </c>
      <c r="E71" s="283">
        <f>SUM(E68:E70)</f>
        <v>2920000</v>
      </c>
      <c r="F71" s="240">
        <f>SUM(F68:F70)</f>
        <v>2920000</v>
      </c>
    </row>
    <row r="72" spans="1:6" x14ac:dyDescent="0.2">
      <c r="A72" s="271"/>
      <c r="B72" s="984"/>
      <c r="C72" s="1775"/>
      <c r="D72" s="437"/>
      <c r="E72" s="1043"/>
      <c r="F72" s="1918"/>
    </row>
    <row r="73" spans="1:6" ht="13.5" thickBot="1" x14ac:dyDescent="0.25">
      <c r="A73" s="233" t="s">
        <v>191</v>
      </c>
      <c r="B73" s="981">
        <f>SUM('16.sz. melléklet'!D33)</f>
        <v>78423000</v>
      </c>
      <c r="C73" s="205">
        <f>SUM('16.sz. melléklet'!D34)</f>
        <v>82141400</v>
      </c>
      <c r="D73" s="438"/>
      <c r="E73" s="326"/>
      <c r="F73" s="1919"/>
    </row>
    <row r="74" spans="1:6" ht="13.5" thickBot="1" x14ac:dyDescent="0.25">
      <c r="A74" s="234" t="s">
        <v>319</v>
      </c>
      <c r="B74" s="982">
        <f>SUM(B73:B73)</f>
        <v>78423000</v>
      </c>
      <c r="C74" s="246">
        <f>SUM(C72:C73)</f>
        <v>82141400</v>
      </c>
      <c r="D74" s="242" t="s">
        <v>124</v>
      </c>
      <c r="E74" s="283">
        <f>SUM(E72:E73)</f>
        <v>0</v>
      </c>
      <c r="F74" s="240">
        <f>SUM(F73)</f>
        <v>0</v>
      </c>
    </row>
    <row r="75" spans="1:6" ht="13.5" thickBot="1" x14ac:dyDescent="0.25">
      <c r="A75" s="132"/>
      <c r="B75" s="1920"/>
      <c r="C75" s="1775"/>
      <c r="D75" s="1221"/>
      <c r="E75" s="1920"/>
      <c r="F75" s="1775"/>
    </row>
    <row r="76" spans="1:6" ht="13.5" thickBot="1" x14ac:dyDescent="0.25">
      <c r="A76" s="234"/>
      <c r="B76" s="982"/>
      <c r="C76" s="246"/>
      <c r="D76" s="242"/>
      <c r="E76" s="283"/>
      <c r="F76" s="240"/>
    </row>
    <row r="77" spans="1:6" ht="13.5" thickBot="1" x14ac:dyDescent="0.25">
      <c r="A77" s="234" t="s">
        <v>192</v>
      </c>
      <c r="B77" s="982">
        <f>B67+B71+B74</f>
        <v>78904000</v>
      </c>
      <c r="C77" s="428">
        <f>SUM(C74+C71+C67)</f>
        <v>82622400</v>
      </c>
      <c r="D77" s="242" t="s">
        <v>200</v>
      </c>
      <c r="E77" s="283">
        <f>SUM(+E71+E67)</f>
        <v>78904000</v>
      </c>
      <c r="F77" s="240">
        <f>F67+F71+F73+F74</f>
        <v>82622400</v>
      </c>
    </row>
    <row r="78" spans="1:6" ht="6.75" customHeight="1" thickBot="1" x14ac:dyDescent="0.25">
      <c r="A78" s="123"/>
      <c r="B78" s="246"/>
      <c r="C78" s="246"/>
      <c r="D78" s="1778"/>
      <c r="E78" s="1778"/>
      <c r="F78" s="246"/>
    </row>
    <row r="79" spans="1:6" ht="13.5" thickBot="1" x14ac:dyDescent="0.25">
      <c r="A79" s="2144" t="s">
        <v>112</v>
      </c>
      <c r="B79" s="2145"/>
      <c r="C79" s="1777"/>
      <c r="D79" s="2146" t="s">
        <v>112</v>
      </c>
      <c r="E79" s="2146"/>
      <c r="F79" s="2145"/>
    </row>
    <row r="80" spans="1:6" x14ac:dyDescent="0.2">
      <c r="A80" s="1914"/>
      <c r="B80" s="239"/>
      <c r="C80" s="309"/>
      <c r="D80" s="237" t="s">
        <v>9</v>
      </c>
      <c r="E80" s="1038">
        <f>SUM('6. sz.melléklet'!C104)</f>
        <v>54310000</v>
      </c>
      <c r="F80" s="1924">
        <f>SUM('6. sz.melléklet'!C105)</f>
        <v>55268400</v>
      </c>
    </row>
    <row r="81" spans="1:6" x14ac:dyDescent="0.2">
      <c r="A81" s="50" t="s">
        <v>179</v>
      </c>
      <c r="B81" s="622">
        <f>SUM('5.a.sz. melléklet'!D70)</f>
        <v>682291000</v>
      </c>
      <c r="C81" s="300">
        <f>SUM('5.a.sz. melléklet'!D71)</f>
        <v>657291000</v>
      </c>
      <c r="D81" s="232" t="s">
        <v>303</v>
      </c>
      <c r="E81" s="1041">
        <f>SUM('6. sz.melléklet'!D104)</f>
        <v>10589000</v>
      </c>
      <c r="F81" s="59">
        <f>SUM('6. sz.melléklet'!D105)</f>
        <v>10757000</v>
      </c>
    </row>
    <row r="82" spans="1:6" x14ac:dyDescent="0.2">
      <c r="A82" s="50" t="s">
        <v>292</v>
      </c>
      <c r="B82" s="622">
        <f>SUM('5.a.sz. melléklet'!C70)</f>
        <v>90217000</v>
      </c>
      <c r="C82" s="300">
        <f>SUM('5.a.sz. melléklet'!C71)</f>
        <v>90217000</v>
      </c>
      <c r="D82" s="232" t="s">
        <v>20</v>
      </c>
      <c r="E82" s="1041">
        <f>SUM('6. sz.melléklet'!E104)</f>
        <v>215300483</v>
      </c>
      <c r="F82" s="59">
        <f>SUM('6. sz.melléklet'!E105)</f>
        <v>295166501</v>
      </c>
    </row>
    <row r="83" spans="1:6" x14ac:dyDescent="0.2">
      <c r="A83" s="50" t="s">
        <v>295</v>
      </c>
      <c r="B83" s="622">
        <f>SUM('5.a.sz. melléklet'!F70+'5.a.sz. melléklet'!H7)</f>
        <v>44736000</v>
      </c>
      <c r="C83" s="300">
        <f>SUM('5.a.sz. melléklet'!H8+'5.a.sz. melléklet'!F71)</f>
        <v>44736000</v>
      </c>
      <c r="D83" s="232" t="s">
        <v>222</v>
      </c>
      <c r="E83" s="1041">
        <f>SUM('6. sz.melléklet'!F104)</f>
        <v>23896000</v>
      </c>
      <c r="F83" s="59">
        <f>SUM('6. sz.melléklet'!F105)</f>
        <v>23896000</v>
      </c>
    </row>
    <row r="84" spans="1:6" ht="13.5" thickBot="1" x14ac:dyDescent="0.25">
      <c r="A84" s="233" t="s">
        <v>320</v>
      </c>
      <c r="B84" s="981">
        <f>SUM('5.a.sz. melléklet'!E70)</f>
        <v>134971058</v>
      </c>
      <c r="C84" s="311">
        <f>SUM('5.a.sz. melléklet'!E71)</f>
        <v>136755752</v>
      </c>
      <c r="D84" s="232" t="s">
        <v>321</v>
      </c>
      <c r="E84" s="1041">
        <f>SUM('6. sz.melléklet'!I104)</f>
        <v>142159607</v>
      </c>
      <c r="F84" s="59">
        <f>SUM('6. sz.melléklet'!I105)</f>
        <v>142159607</v>
      </c>
    </row>
    <row r="85" spans="1:6" ht="13.5" thickBot="1" x14ac:dyDescent="0.25">
      <c r="A85" s="234" t="s">
        <v>190</v>
      </c>
      <c r="B85" s="982">
        <f>SUM(B81:B84)</f>
        <v>952215058</v>
      </c>
      <c r="C85" s="246">
        <f>SUM(C81:C84)</f>
        <v>928999752</v>
      </c>
      <c r="D85" s="242" t="s">
        <v>193</v>
      </c>
      <c r="E85" s="283">
        <f>SUM(E80:E84)</f>
        <v>446255090</v>
      </c>
      <c r="F85" s="240">
        <f>SUM(F80:F84)</f>
        <v>527247508</v>
      </c>
    </row>
    <row r="86" spans="1:6" x14ac:dyDescent="0.2">
      <c r="A86" s="53" t="s">
        <v>100</v>
      </c>
      <c r="B86" s="983">
        <f>SUM('5.a.sz. melléklet'!I70)</f>
        <v>196528000</v>
      </c>
      <c r="C86" s="309">
        <f>SUM('5.a.sz. melléklet'!I71)</f>
        <v>196528000</v>
      </c>
      <c r="D86" s="232" t="s">
        <v>194</v>
      </c>
      <c r="E86" s="1041">
        <f>SUM('6.a.sz. melléklet'!D55)</f>
        <v>238086912</v>
      </c>
      <c r="F86" s="59">
        <f>SUM('6.a.sz. melléklet'!E55)</f>
        <v>238086912</v>
      </c>
    </row>
    <row r="87" spans="1:6" x14ac:dyDescent="0.2">
      <c r="A87" s="50" t="s">
        <v>216</v>
      </c>
      <c r="B87" s="622">
        <f>SUM('5.a.sz. melléklet'!G70+'5.a.sz. melléklet'!H10)</f>
        <v>174678258.55555555</v>
      </c>
      <c r="C87" s="300">
        <f>SUM('5.a.sz. melléklet'!H11+'5.a.sz. melléklet'!G71)</f>
        <v>174678258.55555555</v>
      </c>
      <c r="D87" s="236" t="s">
        <v>318</v>
      </c>
      <c r="E87" s="1042">
        <f>SUM('6.a.sz. melléklet'!G55)</f>
        <v>743025714</v>
      </c>
      <c r="F87" s="1917">
        <f>SUM('6.a.sz. melléklet'!H55)</f>
        <v>665935738</v>
      </c>
    </row>
    <row r="88" spans="1:6" ht="13.5" thickBot="1" x14ac:dyDescent="0.25">
      <c r="A88" s="270"/>
      <c r="B88" s="984"/>
      <c r="C88" s="311"/>
      <c r="D88" s="238" t="s">
        <v>298</v>
      </c>
      <c r="E88" s="1920">
        <f>SUM('6. sz.melléklet'!J104)</f>
        <v>23080050</v>
      </c>
      <c r="F88" s="1922">
        <f>SUM('6. sz.melléklet'!J105)</f>
        <v>23080050</v>
      </c>
    </row>
    <row r="89" spans="1:6" ht="13.5" thickBot="1" x14ac:dyDescent="0.25">
      <c r="A89" s="234" t="s">
        <v>13</v>
      </c>
      <c r="B89" s="982">
        <f>SUM(B86:B87)</f>
        <v>371206258.55555558</v>
      </c>
      <c r="C89" s="246">
        <f>SUM(C86:C88)</f>
        <v>371206258.55555558</v>
      </c>
      <c r="D89" s="242" t="s">
        <v>195</v>
      </c>
      <c r="E89" s="283">
        <f>SUM(E86:E88)</f>
        <v>1004192676</v>
      </c>
      <c r="F89" s="240">
        <f>SUM(F86:F88)</f>
        <v>927102700</v>
      </c>
    </row>
    <row r="90" spans="1:6" x14ac:dyDescent="0.2">
      <c r="A90" s="395" t="s">
        <v>403</v>
      </c>
      <c r="B90" s="983">
        <f>SUM('5.a.sz. melléklet'!K67)</f>
        <v>300000000</v>
      </c>
      <c r="C90" s="309">
        <f>SUM('5.a.sz. melléklet'!K68)</f>
        <v>365995335</v>
      </c>
      <c r="D90" s="440" t="s">
        <v>405</v>
      </c>
      <c r="E90" s="1045">
        <f>SUM('6. sz.melléklet'!M102)</f>
        <v>0</v>
      </c>
      <c r="F90" s="1923">
        <f>SUM('6. sz.melléklet'!M103)</f>
        <v>65995335</v>
      </c>
    </row>
    <row r="91" spans="1:6" x14ac:dyDescent="0.2">
      <c r="A91" s="396" t="s">
        <v>196</v>
      </c>
      <c r="B91" s="622">
        <f>SUM('5.a.sz. melléklet'!K7)</f>
        <v>0</v>
      </c>
      <c r="C91" s="300">
        <f>SUM('5.a.sz. melléklet'!K8)</f>
        <v>0</v>
      </c>
      <c r="D91" s="232" t="s">
        <v>322</v>
      </c>
      <c r="E91" s="128">
        <f>SUM('1.sz. melléklet'!D12+'1.sz. melléklet'!F12+'1.sz. melléklet'!H12+'1.sz. melléklet'!J12)</f>
        <v>465919000</v>
      </c>
      <c r="F91" s="622">
        <f>SUM('1.sz. melléklet'!E12+'1.sz. melléklet'!G12+'1.sz. melléklet'!I12+'1.sz. melléklet'!K12)-184</f>
        <v>491041407</v>
      </c>
    </row>
    <row r="92" spans="1:6" x14ac:dyDescent="0.2">
      <c r="A92" s="397"/>
      <c r="B92" s="981"/>
      <c r="C92" s="301"/>
      <c r="D92" s="441" t="s">
        <v>406</v>
      </c>
      <c r="E92" s="129">
        <f>SUM('6. sz.melléklet'!M12)</f>
        <v>5398843</v>
      </c>
      <c r="F92" s="1925">
        <f>SUM('6. sz.melléklet'!M13)</f>
        <v>32581712</v>
      </c>
    </row>
    <row r="93" spans="1:6" ht="13.5" thickBot="1" x14ac:dyDescent="0.25">
      <c r="A93" s="241" t="s">
        <v>296</v>
      </c>
      <c r="B93" s="985">
        <f>SUM(B90:B91)</f>
        <v>300000000</v>
      </c>
      <c r="C93" s="390">
        <f>SUM(C90:C92)</f>
        <v>365995335</v>
      </c>
      <c r="D93" s="442" t="s">
        <v>397</v>
      </c>
      <c r="E93" s="326">
        <f>SUM('6. sz.melléklet'!M6)</f>
        <v>0</v>
      </c>
      <c r="F93" s="1926">
        <f>SUM('6. sz.melléklet'!M7)</f>
        <v>0</v>
      </c>
    </row>
    <row r="94" spans="1:6" ht="13.5" thickBot="1" x14ac:dyDescent="0.25">
      <c r="A94" s="234" t="s">
        <v>192</v>
      </c>
      <c r="B94" s="982">
        <f>B85+B89+B93</f>
        <v>1623421316.5555556</v>
      </c>
      <c r="C94" s="246">
        <f>SUM(C93+C89+C85)</f>
        <v>1666201345.5555556</v>
      </c>
      <c r="D94" s="242" t="s">
        <v>124</v>
      </c>
      <c r="E94" s="283">
        <f>SUM(E90:E93)</f>
        <v>471317843</v>
      </c>
      <c r="F94" s="240">
        <f>SUM(F90:F93)</f>
        <v>589618454</v>
      </c>
    </row>
    <row r="95" spans="1:6" ht="25.5" customHeight="1" thickBot="1" x14ac:dyDescent="0.25">
      <c r="A95" s="54" t="s">
        <v>404</v>
      </c>
      <c r="B95" s="983">
        <f>SUM('5.a.sz. melléklet'!J16)</f>
        <v>379000000</v>
      </c>
      <c r="C95" s="309">
        <f>SUM('5.a.sz. melléklet'!J17)</f>
        <v>379000000</v>
      </c>
      <c r="D95" s="243" t="s">
        <v>44</v>
      </c>
      <c r="E95" s="1046">
        <f>SUM('6. sz.melléklet'!K104+'6. sz.melléklet'!L104)</f>
        <v>80655707.555555582</v>
      </c>
      <c r="F95" s="1915">
        <f>SUM('6. sz.melléklet'!K7+'6. sz.melléklet'!L7)</f>
        <v>21334155</v>
      </c>
    </row>
    <row r="96" spans="1:6" ht="13.5" thickBot="1" x14ac:dyDescent="0.25">
      <c r="A96" s="234" t="s">
        <v>197</v>
      </c>
      <c r="B96" s="982">
        <f>SUM(B95+B93+B89+B85)</f>
        <v>2002421316.5555556</v>
      </c>
      <c r="C96" s="246">
        <f>SUM(C95+C93+C89+C85)</f>
        <v>2045201345.5555556</v>
      </c>
      <c r="D96" s="242" t="s">
        <v>198</v>
      </c>
      <c r="E96" s="283">
        <f>SUM(E95+E94+E89+E85)</f>
        <v>2002421316.5555556</v>
      </c>
      <c r="F96" s="240">
        <f>SUM(F95+F94+F89+F85)</f>
        <v>2065302817</v>
      </c>
    </row>
  </sheetData>
  <mergeCells count="13">
    <mergeCell ref="A60:B60"/>
    <mergeCell ref="D60:F60"/>
    <mergeCell ref="A79:B79"/>
    <mergeCell ref="D79:F79"/>
    <mergeCell ref="A1:F1"/>
    <mergeCell ref="A22:B22"/>
    <mergeCell ref="D22:F22"/>
    <mergeCell ref="A41:B41"/>
    <mergeCell ref="D41:F41"/>
    <mergeCell ref="A3:B3"/>
    <mergeCell ref="D3:F3"/>
    <mergeCell ref="A4:B4"/>
    <mergeCell ref="D4:F4"/>
  </mergeCells>
  <phoneticPr fontId="3" type="noConversion"/>
  <pageMargins left="0.75" right="0.75" top="1" bottom="1" header="0.5" footer="0.5"/>
  <pageSetup paperSize="9" scale="34" orientation="landscape" r:id="rId1"/>
  <headerFooter alignWithMargins="0">
    <oddHeader>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P31"/>
  <sheetViews>
    <sheetView workbookViewId="0">
      <selection activeCell="D6" sqref="D6"/>
    </sheetView>
  </sheetViews>
  <sheetFormatPr defaultRowHeight="12.75" x14ac:dyDescent="0.2"/>
  <cols>
    <col min="1" max="1" width="12.7109375" customWidth="1"/>
    <col min="2" max="2" width="12.7109375" bestFit="1" customWidth="1"/>
    <col min="3" max="4" width="14.5703125" bestFit="1" customWidth="1"/>
    <col min="5" max="5" width="13.140625" bestFit="1" customWidth="1"/>
    <col min="6" max="6" width="12.7109375" bestFit="1" customWidth="1"/>
    <col min="7" max="7" width="13.42578125" bestFit="1" customWidth="1"/>
    <col min="8" max="8" width="12.7109375" bestFit="1" customWidth="1"/>
    <col min="9" max="9" width="13.42578125" bestFit="1" customWidth="1"/>
    <col min="10" max="10" width="12.7109375" bestFit="1" customWidth="1"/>
    <col min="11" max="16" width="11.5703125" bestFit="1" customWidth="1"/>
  </cols>
  <sheetData>
    <row r="1" spans="1:16" ht="27" customHeight="1" x14ac:dyDescent="0.2">
      <c r="A1" s="2154" t="s">
        <v>491</v>
      </c>
      <c r="B1" s="2154"/>
      <c r="C1" s="2154"/>
      <c r="D1" s="2154"/>
      <c r="E1" s="2154"/>
      <c r="F1" s="2154"/>
      <c r="G1" s="2154"/>
      <c r="H1" s="2154"/>
      <c r="I1" s="2154"/>
      <c r="J1" s="2154"/>
      <c r="K1" s="2154"/>
      <c r="L1" s="2154"/>
      <c r="M1" s="2154"/>
      <c r="N1" s="2154"/>
      <c r="O1" s="2154"/>
      <c r="P1" s="6"/>
    </row>
    <row r="2" spans="1:16" ht="13.5" thickBo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26.25" customHeight="1" thickBot="1" x14ac:dyDescent="0.25">
      <c r="A3" s="457" t="s">
        <v>116</v>
      </c>
      <c r="B3" s="2155" t="s">
        <v>117</v>
      </c>
      <c r="C3" s="2156"/>
      <c r="D3" s="2157"/>
      <c r="E3" s="2155" t="s">
        <v>30</v>
      </c>
      <c r="F3" s="2156"/>
      <c r="G3" s="2157"/>
      <c r="H3" s="2155" t="s">
        <v>56</v>
      </c>
      <c r="I3" s="2156"/>
      <c r="J3" s="2157"/>
      <c r="K3" s="1986" t="s">
        <v>428</v>
      </c>
      <c r="L3" s="1987"/>
      <c r="M3" s="2098"/>
      <c r="N3" s="2155" t="s">
        <v>118</v>
      </c>
      <c r="O3" s="2156"/>
      <c r="P3" s="2157"/>
    </row>
    <row r="4" spans="1:16" ht="13.5" thickBot="1" x14ac:dyDescent="0.25">
      <c r="A4" s="458"/>
      <c r="B4" s="590" t="s">
        <v>508</v>
      </c>
      <c r="C4" s="606" t="s">
        <v>515</v>
      </c>
      <c r="D4" s="591">
        <v>2023</v>
      </c>
      <c r="E4" s="1094" t="s">
        <v>508</v>
      </c>
      <c r="F4" s="606" t="s">
        <v>515</v>
      </c>
      <c r="G4" s="1095">
        <v>2023</v>
      </c>
      <c r="H4" s="1094" t="s">
        <v>508</v>
      </c>
      <c r="I4" s="606" t="s">
        <v>515</v>
      </c>
      <c r="J4" s="1095">
        <v>2023</v>
      </c>
      <c r="K4" s="1094" t="s">
        <v>508</v>
      </c>
      <c r="L4" s="606" t="s">
        <v>515</v>
      </c>
      <c r="M4" s="1095">
        <v>2023</v>
      </c>
      <c r="N4" s="1094" t="s">
        <v>508</v>
      </c>
      <c r="O4" s="606" t="s">
        <v>515</v>
      </c>
      <c r="P4" s="1095">
        <v>2023</v>
      </c>
    </row>
    <row r="5" spans="1:16" ht="25.5" x14ac:dyDescent="0.2">
      <c r="A5" s="460" t="s">
        <v>179</v>
      </c>
      <c r="B5" s="609">
        <v>675400000</v>
      </c>
      <c r="C5" s="1052">
        <v>675400000</v>
      </c>
      <c r="D5" s="1064">
        <v>675400000</v>
      </c>
      <c r="E5" s="1062">
        <v>85000</v>
      </c>
      <c r="F5" s="609">
        <v>85000</v>
      </c>
      <c r="G5" s="464">
        <v>85000</v>
      </c>
      <c r="H5" s="1052"/>
      <c r="I5" s="609"/>
      <c r="J5" s="464"/>
      <c r="K5" s="1052"/>
      <c r="L5" s="609"/>
      <c r="M5" s="464"/>
      <c r="N5" s="1052"/>
      <c r="O5" s="609"/>
      <c r="P5" s="464"/>
    </row>
    <row r="6" spans="1:16" ht="25.5" x14ac:dyDescent="0.2">
      <c r="A6" s="460" t="s">
        <v>292</v>
      </c>
      <c r="B6" s="1053">
        <v>73039000</v>
      </c>
      <c r="C6" s="1055">
        <v>73039000</v>
      </c>
      <c r="D6" s="1065">
        <v>73039000</v>
      </c>
      <c r="E6" s="1055">
        <v>13000000</v>
      </c>
      <c r="F6" s="1053">
        <v>13000000</v>
      </c>
      <c r="G6" s="1054">
        <v>13000000</v>
      </c>
      <c r="H6" s="1055">
        <v>12000000</v>
      </c>
      <c r="I6" s="1053">
        <v>12000000</v>
      </c>
      <c r="J6" s="1054">
        <v>12000000</v>
      </c>
      <c r="K6" s="1055">
        <v>6000000</v>
      </c>
      <c r="L6" s="1053">
        <v>6000000</v>
      </c>
      <c r="M6" s="1054">
        <v>6000000</v>
      </c>
      <c r="N6" s="1055">
        <v>250000</v>
      </c>
      <c r="O6" s="1053">
        <v>250000</v>
      </c>
      <c r="P6" s="1054">
        <v>250000</v>
      </c>
    </row>
    <row r="7" spans="1:16" ht="38.25" x14ac:dyDescent="0.2">
      <c r="A7" s="460" t="s">
        <v>425</v>
      </c>
      <c r="B7" s="1053">
        <v>119000000</v>
      </c>
      <c r="C7" s="1055">
        <v>119000000</v>
      </c>
      <c r="D7" s="1065">
        <v>119000000</v>
      </c>
      <c r="E7" s="1055"/>
      <c r="F7" s="1053"/>
      <c r="G7" s="1054"/>
      <c r="H7" s="1055"/>
      <c r="I7" s="1053"/>
      <c r="J7" s="1054"/>
      <c r="K7" s="1055"/>
      <c r="L7" s="1053"/>
      <c r="M7" s="1054"/>
      <c r="N7" s="1055"/>
      <c r="O7" s="1053"/>
      <c r="P7" s="1054"/>
    </row>
    <row r="8" spans="1:16" ht="38.25" x14ac:dyDescent="0.2">
      <c r="A8" s="460" t="s">
        <v>426</v>
      </c>
      <c r="B8" s="1053"/>
      <c r="C8" s="1055"/>
      <c r="D8" s="1065"/>
      <c r="E8" s="1055"/>
      <c r="F8" s="1053"/>
      <c r="G8" s="1054"/>
      <c r="H8" s="1055"/>
      <c r="I8" s="1053"/>
      <c r="J8" s="1054"/>
      <c r="K8" s="1055"/>
      <c r="L8" s="1053"/>
      <c r="M8" s="1054"/>
      <c r="N8" s="1055"/>
      <c r="O8" s="1053"/>
      <c r="P8" s="1054"/>
    </row>
    <row r="9" spans="1:16" ht="25.5" x14ac:dyDescent="0.2">
      <c r="A9" s="460" t="s">
        <v>100</v>
      </c>
      <c r="B9" s="1053">
        <v>30000000</v>
      </c>
      <c r="C9" s="1055">
        <v>20000000</v>
      </c>
      <c r="D9" s="1065">
        <v>10000000</v>
      </c>
      <c r="E9" s="1055"/>
      <c r="F9" s="1053"/>
      <c r="G9" s="1054"/>
      <c r="H9" s="1055"/>
      <c r="I9" s="1053"/>
      <c r="J9" s="1054"/>
      <c r="K9" s="1055"/>
      <c r="L9" s="1053"/>
      <c r="M9" s="1054"/>
      <c r="N9" s="1055"/>
      <c r="O9" s="1053"/>
      <c r="P9" s="1054"/>
    </row>
    <row r="10" spans="1:16" ht="35.25" customHeight="1" x14ac:dyDescent="0.2">
      <c r="A10" s="460" t="s">
        <v>295</v>
      </c>
      <c r="B10" s="1053"/>
      <c r="C10" s="1055"/>
      <c r="D10" s="1065"/>
      <c r="E10" s="1055"/>
      <c r="F10" s="1053"/>
      <c r="G10" s="1054"/>
      <c r="H10" s="1055"/>
      <c r="I10" s="1053"/>
      <c r="J10" s="1054"/>
      <c r="K10" s="1055"/>
      <c r="L10" s="1053"/>
      <c r="M10" s="1054"/>
      <c r="N10" s="1055"/>
      <c r="O10" s="1053"/>
      <c r="P10" s="1054"/>
    </row>
    <row r="11" spans="1:16" ht="51" x14ac:dyDescent="0.2">
      <c r="A11" s="460" t="s">
        <v>216</v>
      </c>
      <c r="B11" s="1053"/>
      <c r="C11" s="1055"/>
      <c r="D11" s="1065"/>
      <c r="E11" s="1055"/>
      <c r="F11" s="1053"/>
      <c r="G11" s="1054"/>
      <c r="H11" s="1055"/>
      <c r="I11" s="1053"/>
      <c r="J11" s="1054"/>
      <c r="K11" s="1055"/>
      <c r="L11" s="1053"/>
      <c r="M11" s="1054"/>
      <c r="N11" s="1055"/>
      <c r="O11" s="1053"/>
      <c r="P11" s="1054"/>
    </row>
    <row r="12" spans="1:16" ht="26.25" thickBot="1" x14ac:dyDescent="0.25">
      <c r="A12" s="465" t="s">
        <v>296</v>
      </c>
      <c r="B12" s="1056">
        <v>100000000</v>
      </c>
      <c r="C12" s="1058">
        <v>150000000</v>
      </c>
      <c r="D12" s="1066">
        <v>200000000</v>
      </c>
      <c r="E12" s="1058">
        <f>SUM(E28-E6-E5)</f>
        <v>139526760</v>
      </c>
      <c r="F12" s="1058">
        <f t="shared" ref="F12:P12" si="0">SUM(F28-F6-F5)</f>
        <v>150402814.80000001</v>
      </c>
      <c r="G12" s="1058">
        <f t="shared" si="0"/>
        <v>163101596.28000003</v>
      </c>
      <c r="H12" s="1058">
        <f t="shared" si="0"/>
        <v>187014880</v>
      </c>
      <c r="I12" s="1058">
        <f t="shared" si="0"/>
        <v>200391109.30000004</v>
      </c>
      <c r="J12" s="1058">
        <f t="shared" si="0"/>
        <v>216280220.23000005</v>
      </c>
      <c r="K12" s="1058">
        <f t="shared" si="0"/>
        <v>66423400</v>
      </c>
      <c r="L12" s="1058">
        <f t="shared" si="0"/>
        <v>69711006.400000006</v>
      </c>
      <c r="M12" s="1058">
        <f t="shared" si="0"/>
        <v>73912107.040000021</v>
      </c>
      <c r="N12" s="1058">
        <f t="shared" si="0"/>
        <v>83963394</v>
      </c>
      <c r="O12" s="1058">
        <f t="shared" si="0"/>
        <v>90514733.400000006</v>
      </c>
      <c r="P12" s="1058">
        <f t="shared" si="0"/>
        <v>97721206.74000001</v>
      </c>
    </row>
    <row r="13" spans="1:16" ht="26.25" thickBot="1" x14ac:dyDescent="0.25">
      <c r="A13" s="466" t="s">
        <v>139</v>
      </c>
      <c r="B13" s="611">
        <f t="shared" ref="B13:C13" si="1">SUM(B5:B12)</f>
        <v>997439000</v>
      </c>
      <c r="C13" s="1059">
        <f t="shared" si="1"/>
        <v>1037439000</v>
      </c>
      <c r="D13" s="611">
        <f t="shared" ref="D13:P13" si="2">SUM(D5:D12)</f>
        <v>1077439000</v>
      </c>
      <c r="E13" s="611">
        <f t="shared" ref="E13:F13" si="3">SUM(E5:E12)</f>
        <v>152611760</v>
      </c>
      <c r="F13" s="1059">
        <f t="shared" si="3"/>
        <v>163487814.80000001</v>
      </c>
      <c r="G13" s="611">
        <f t="shared" si="2"/>
        <v>176186596.28000003</v>
      </c>
      <c r="H13" s="611">
        <f t="shared" ref="H13:I13" si="4">SUM(H5:H12)</f>
        <v>199014880</v>
      </c>
      <c r="I13" s="1059">
        <f t="shared" si="4"/>
        <v>212391109.30000004</v>
      </c>
      <c r="J13" s="611">
        <f t="shared" si="2"/>
        <v>228280220.23000005</v>
      </c>
      <c r="K13" s="611">
        <f t="shared" ref="K13:L13" si="5">SUM(K5:K12)</f>
        <v>72423400</v>
      </c>
      <c r="L13" s="1059">
        <f t="shared" si="5"/>
        <v>75711006.400000006</v>
      </c>
      <c r="M13" s="611">
        <f t="shared" si="2"/>
        <v>79912107.040000021</v>
      </c>
      <c r="N13" s="611">
        <f t="shared" ref="N13:O13" si="6">SUM(N5:N12)</f>
        <v>84213394</v>
      </c>
      <c r="O13" s="1059">
        <f t="shared" si="6"/>
        <v>90764733.400000006</v>
      </c>
      <c r="P13" s="611">
        <f t="shared" si="2"/>
        <v>97971206.74000001</v>
      </c>
    </row>
    <row r="14" spans="1:16" ht="13.5" thickBot="1" x14ac:dyDescent="0.25">
      <c r="A14" s="461"/>
      <c r="B14" s="461"/>
      <c r="C14" s="461"/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461"/>
      <c r="O14" s="461"/>
      <c r="P14" s="461"/>
    </row>
    <row r="15" spans="1:16" ht="26.25" customHeight="1" thickBot="1" x14ac:dyDescent="0.25">
      <c r="A15" s="457" t="s">
        <v>121</v>
      </c>
      <c r="B15" s="2155" t="s">
        <v>117</v>
      </c>
      <c r="C15" s="2156"/>
      <c r="D15" s="2157"/>
      <c r="E15" s="2155" t="s">
        <v>30</v>
      </c>
      <c r="F15" s="2156"/>
      <c r="G15" s="2157"/>
      <c r="H15" s="2155" t="s">
        <v>56</v>
      </c>
      <c r="I15" s="2156"/>
      <c r="J15" s="2157"/>
      <c r="K15" s="1986" t="s">
        <v>428</v>
      </c>
      <c r="L15" s="1987"/>
      <c r="M15" s="2098"/>
      <c r="N15" s="2155" t="s">
        <v>118</v>
      </c>
      <c r="O15" s="2156"/>
      <c r="P15" s="2157"/>
    </row>
    <row r="16" spans="1:16" ht="13.5" thickBot="1" x14ac:dyDescent="0.25">
      <c r="A16" s="462"/>
      <c r="B16" s="1094" t="s">
        <v>508</v>
      </c>
      <c r="C16" s="606" t="s">
        <v>515</v>
      </c>
      <c r="D16" s="1095">
        <v>2023</v>
      </c>
      <c r="E16" s="590" t="s">
        <v>508</v>
      </c>
      <c r="F16" s="606" t="s">
        <v>515</v>
      </c>
      <c r="G16" s="591">
        <v>2023</v>
      </c>
      <c r="H16" s="1094" t="s">
        <v>508</v>
      </c>
      <c r="I16" s="606" t="s">
        <v>515</v>
      </c>
      <c r="J16" s="1095">
        <v>2023</v>
      </c>
      <c r="K16" s="590" t="s">
        <v>508</v>
      </c>
      <c r="L16" s="606" t="s">
        <v>515</v>
      </c>
      <c r="M16" s="591">
        <v>2023</v>
      </c>
      <c r="N16" s="1094" t="s">
        <v>508</v>
      </c>
      <c r="O16" s="606" t="s">
        <v>515</v>
      </c>
      <c r="P16" s="1095">
        <v>2023</v>
      </c>
    </row>
    <row r="17" spans="1:16" ht="25.5" x14ac:dyDescent="0.2">
      <c r="A17" s="460" t="s">
        <v>9</v>
      </c>
      <c r="B17" s="463">
        <v>53340000</v>
      </c>
      <c r="C17" s="609">
        <f>SUM(B17)*1.1</f>
        <v>58674000.000000007</v>
      </c>
      <c r="D17" s="464">
        <f>SUM(C17)*1.1</f>
        <v>64541400.000000015</v>
      </c>
      <c r="E17" s="1052">
        <f>90972000*1.08</f>
        <v>98249760</v>
      </c>
      <c r="F17" s="609">
        <f>SUM(E17)*1.1</f>
        <v>108074736.00000001</v>
      </c>
      <c r="G17" s="464">
        <f>SUM(F17)*1.1</f>
        <v>118882209.60000002</v>
      </c>
      <c r="H17" s="1052">
        <f>113827000*1.08</f>
        <v>122933160.00000001</v>
      </c>
      <c r="I17" s="609">
        <f>SUM(H17*1.1)</f>
        <v>135226476.00000003</v>
      </c>
      <c r="J17" s="464">
        <f>SUM(I17*1.1)</f>
        <v>148749123.60000005</v>
      </c>
      <c r="K17" s="1052">
        <f>30096000*1.08</f>
        <v>32503680.000000004</v>
      </c>
      <c r="L17" s="609">
        <f>SUM(K17)*1.1</f>
        <v>35754048.000000007</v>
      </c>
      <c r="M17" s="464">
        <f>SUM(L17)*1.1</f>
        <v>39329452.800000012</v>
      </c>
      <c r="N17" s="1052">
        <f>51626000*1.08</f>
        <v>55756080</v>
      </c>
      <c r="O17" s="609">
        <f>SUM(N17)*1.1</f>
        <v>61331688.000000007</v>
      </c>
      <c r="P17" s="464">
        <f>SUM(O17)*1.1</f>
        <v>67464856.800000012</v>
      </c>
    </row>
    <row r="18" spans="1:16" ht="38.25" x14ac:dyDescent="0.2">
      <c r="A18" s="460" t="s">
        <v>427</v>
      </c>
      <c r="B18" s="1060">
        <f>SUM(B17*0.175)</f>
        <v>9334500</v>
      </c>
      <c r="C18" s="1053">
        <f>SUM(C17*0.175)</f>
        <v>10267950</v>
      </c>
      <c r="D18" s="1054">
        <f>SUM(D17*0.175)</f>
        <v>11294745.000000002</v>
      </c>
      <c r="E18" s="1055">
        <f>17862000</f>
        <v>17862000</v>
      </c>
      <c r="F18" s="1053">
        <f>SUM(F17*0.175)</f>
        <v>18913078.800000001</v>
      </c>
      <c r="G18" s="1054">
        <f>SUM(G17*0.175)</f>
        <v>20804386.680000003</v>
      </c>
      <c r="H18" s="1055">
        <f>20909000*1.08</f>
        <v>22581720</v>
      </c>
      <c r="I18" s="1053">
        <f>SUM(I17*0.175)</f>
        <v>23664633.300000004</v>
      </c>
      <c r="J18" s="1054">
        <f>SUM(J17*0.175)</f>
        <v>26031096.630000006</v>
      </c>
      <c r="K18" s="1055">
        <f>5759000*1.08</f>
        <v>6219720</v>
      </c>
      <c r="L18" s="1053">
        <f>SUM(L17*0.175)</f>
        <v>6256958.4000000013</v>
      </c>
      <c r="M18" s="1054">
        <f>SUM(M17*0.175)</f>
        <v>6882654.2400000021</v>
      </c>
      <c r="N18" s="1055">
        <f>SUM(N17*0.175)</f>
        <v>9757314</v>
      </c>
      <c r="O18" s="1053">
        <f>SUM(O17*0.175)</f>
        <v>10733045.4</v>
      </c>
      <c r="P18" s="1054">
        <f>SUM(P17*0.175)</f>
        <v>11806349.940000001</v>
      </c>
    </row>
    <row r="19" spans="1:16" ht="25.5" x14ac:dyDescent="0.2">
      <c r="A19" s="460" t="s">
        <v>20</v>
      </c>
      <c r="B19" s="1060">
        <v>130000000</v>
      </c>
      <c r="C19" s="1053">
        <v>130000000</v>
      </c>
      <c r="D19" s="1054">
        <v>130000000</v>
      </c>
      <c r="E19" s="1055">
        <v>35000000</v>
      </c>
      <c r="F19" s="1053">
        <v>35000000</v>
      </c>
      <c r="G19" s="1054">
        <v>35000000</v>
      </c>
      <c r="H19" s="1055">
        <v>52000000</v>
      </c>
      <c r="I19" s="1053">
        <v>52000000</v>
      </c>
      <c r="J19" s="1054">
        <v>52000000</v>
      </c>
      <c r="K19" s="1055">
        <v>29500000</v>
      </c>
      <c r="L19" s="1053">
        <v>29500000</v>
      </c>
      <c r="M19" s="1054">
        <v>29500000</v>
      </c>
      <c r="N19" s="1055">
        <v>15500000</v>
      </c>
      <c r="O19" s="1053">
        <v>15500000</v>
      </c>
      <c r="P19" s="1054">
        <v>15500000</v>
      </c>
    </row>
    <row r="20" spans="1:16" ht="38.25" x14ac:dyDescent="0.2">
      <c r="A20" s="460" t="s">
        <v>222</v>
      </c>
      <c r="B20" s="1060">
        <v>45400000</v>
      </c>
      <c r="C20" s="1053">
        <v>45400000</v>
      </c>
      <c r="D20" s="1054">
        <v>45400000</v>
      </c>
      <c r="E20" s="1055"/>
      <c r="F20" s="1053"/>
      <c r="G20" s="1054"/>
      <c r="H20" s="1055"/>
      <c r="I20" s="1053"/>
      <c r="J20" s="1054"/>
      <c r="K20" s="1055"/>
      <c r="L20" s="1053"/>
      <c r="M20" s="1054"/>
      <c r="N20" s="1055"/>
      <c r="O20" s="1053"/>
      <c r="P20" s="1054"/>
    </row>
    <row r="21" spans="1:16" ht="76.5" x14ac:dyDescent="0.2">
      <c r="A21" s="460" t="s">
        <v>447</v>
      </c>
      <c r="B21" s="1060">
        <v>36000000</v>
      </c>
      <c r="C21" s="1053">
        <v>36000000</v>
      </c>
      <c r="D21" s="1054">
        <v>36000000</v>
      </c>
      <c r="E21" s="1055"/>
      <c r="F21" s="1053"/>
      <c r="G21" s="1054"/>
      <c r="H21" s="1055"/>
      <c r="I21" s="1053"/>
      <c r="J21" s="1054"/>
      <c r="K21" s="1055"/>
      <c r="L21" s="1053"/>
      <c r="M21" s="1054"/>
      <c r="N21" s="1055"/>
      <c r="O21" s="1053"/>
      <c r="P21" s="1054"/>
    </row>
    <row r="22" spans="1:16" x14ac:dyDescent="0.2">
      <c r="A22" s="460" t="s">
        <v>122</v>
      </c>
      <c r="B22" s="1060">
        <v>43000000</v>
      </c>
      <c r="C22" s="1053">
        <v>43000000</v>
      </c>
      <c r="D22" s="1054">
        <v>43000000</v>
      </c>
      <c r="E22" s="1055">
        <v>1500000</v>
      </c>
      <c r="F22" s="1055">
        <v>1500000</v>
      </c>
      <c r="G22" s="1054">
        <v>1500000</v>
      </c>
      <c r="H22" s="1063">
        <v>1500000</v>
      </c>
      <c r="I22" s="1055">
        <v>1500000</v>
      </c>
      <c r="J22" s="1054">
        <v>1500000</v>
      </c>
      <c r="K22" s="1063">
        <v>4200000</v>
      </c>
      <c r="L22" s="1055">
        <v>4200000</v>
      </c>
      <c r="M22" s="1054">
        <v>4200000</v>
      </c>
      <c r="N22" s="1063">
        <v>3200000</v>
      </c>
      <c r="O22" s="1055">
        <v>3200000</v>
      </c>
      <c r="P22" s="1054">
        <v>3200000</v>
      </c>
    </row>
    <row r="23" spans="1:16" x14ac:dyDescent="0.2">
      <c r="A23" s="460" t="s">
        <v>123</v>
      </c>
      <c r="B23" s="1060">
        <v>110000000</v>
      </c>
      <c r="C23" s="1053">
        <v>110000000</v>
      </c>
      <c r="D23" s="1054">
        <v>110000000</v>
      </c>
      <c r="E23" s="1055"/>
      <c r="F23" s="1053"/>
      <c r="G23" s="1054"/>
      <c r="H23" s="1055"/>
      <c r="I23" s="1053"/>
      <c r="J23" s="1054"/>
      <c r="K23" s="1055"/>
      <c r="L23" s="1053"/>
      <c r="M23" s="1054"/>
      <c r="N23" s="1055"/>
      <c r="O23" s="1053"/>
      <c r="P23" s="1054"/>
    </row>
    <row r="24" spans="1:16" ht="76.5" x14ac:dyDescent="0.2">
      <c r="A24" s="460" t="s">
        <v>448</v>
      </c>
      <c r="B24" s="1060"/>
      <c r="C24" s="1053"/>
      <c r="D24" s="1054"/>
      <c r="E24" s="1055"/>
      <c r="F24" s="1053"/>
      <c r="G24" s="1054"/>
      <c r="H24" s="1055"/>
      <c r="I24" s="1053"/>
      <c r="J24" s="1054"/>
      <c r="K24" s="1055"/>
      <c r="L24" s="1053"/>
      <c r="M24" s="1054"/>
      <c r="N24" s="1055"/>
      <c r="O24" s="1053"/>
      <c r="P24" s="1054"/>
    </row>
    <row r="25" spans="1:16" ht="25.5" x14ac:dyDescent="0.2">
      <c r="A25" s="460" t="s">
        <v>124</v>
      </c>
      <c r="B25" s="1060">
        <f>SUM(E12+H12+K12+N12)</f>
        <v>476928434</v>
      </c>
      <c r="C25" s="1053">
        <f>SUM(F12+I12+L12+O12)</f>
        <v>511019663.89999998</v>
      </c>
      <c r="D25" s="1054">
        <f>SUM(G12+J12+M12+P12)</f>
        <v>551015130.2900002</v>
      </c>
      <c r="E25" s="1055"/>
      <c r="F25" s="1053"/>
      <c r="G25" s="1054"/>
      <c r="H25" s="1055"/>
      <c r="I25" s="1053"/>
      <c r="J25" s="1054"/>
      <c r="K25" s="1055"/>
      <c r="L25" s="1053"/>
      <c r="M25" s="1054"/>
      <c r="N25" s="1055"/>
      <c r="O25" s="1053"/>
      <c r="P25" s="1054"/>
    </row>
    <row r="26" spans="1:16" ht="25.5" x14ac:dyDescent="0.2">
      <c r="A26" s="460" t="s">
        <v>125</v>
      </c>
      <c r="B26" s="1060">
        <f>SUM(B13)-B17-B18-B19-B20-B21-B22-B23-B25-B27</f>
        <v>73436066</v>
      </c>
      <c r="C26" s="1060">
        <f t="shared" ref="C26:D26" si="7">SUM(C13)-C17-C18-C19-C20-C21-C22-C23-C25-C27</f>
        <v>73077386.100000024</v>
      </c>
      <c r="D26" s="1060">
        <f t="shared" si="7"/>
        <v>66187724.7099998</v>
      </c>
      <c r="E26" s="1055"/>
      <c r="F26" s="1053"/>
      <c r="G26" s="1054"/>
      <c r="H26" s="1055"/>
      <c r="I26" s="1053"/>
      <c r="J26" s="1054"/>
      <c r="K26" s="1055"/>
      <c r="L26" s="1053"/>
      <c r="M26" s="1054"/>
      <c r="N26" s="1055"/>
      <c r="O26" s="1053"/>
      <c r="P26" s="1054"/>
    </row>
    <row r="27" spans="1:16" ht="13.5" thickBot="1" x14ac:dyDescent="0.25">
      <c r="A27" s="465" t="s">
        <v>126</v>
      </c>
      <c r="B27" s="1061">
        <v>20000000</v>
      </c>
      <c r="C27" s="1056">
        <v>20000000</v>
      </c>
      <c r="D27" s="1057">
        <v>20000000</v>
      </c>
      <c r="E27" s="1058"/>
      <c r="F27" s="1056"/>
      <c r="G27" s="1057"/>
      <c r="H27" s="1058"/>
      <c r="I27" s="1056"/>
      <c r="J27" s="1057"/>
      <c r="K27" s="1058"/>
      <c r="L27" s="1056"/>
      <c r="M27" s="1057"/>
      <c r="N27" s="1058"/>
      <c r="O27" s="1056"/>
      <c r="P27" s="1057"/>
    </row>
    <row r="28" spans="1:16" ht="26.25" thickBot="1" x14ac:dyDescent="0.25">
      <c r="A28" s="607" t="s">
        <v>140</v>
      </c>
      <c r="B28" s="608">
        <f t="shared" ref="B28" si="8">SUM(B17:B27)</f>
        <v>997439000</v>
      </c>
      <c r="C28" s="610">
        <f>SUM(C17:C27)</f>
        <v>1037439000</v>
      </c>
      <c r="D28" s="611">
        <f t="shared" ref="D28:F28" si="9">SUM(D17:D27)</f>
        <v>1077439000</v>
      </c>
      <c r="E28" s="611">
        <f t="shared" si="9"/>
        <v>152611760</v>
      </c>
      <c r="F28" s="1059">
        <f t="shared" si="9"/>
        <v>163487814.80000001</v>
      </c>
      <c r="G28" s="611">
        <f t="shared" ref="G28:P28" si="10">SUM(G17:G27)</f>
        <v>176186596.28000003</v>
      </c>
      <c r="H28" s="611">
        <f t="shared" ref="H28:I28" si="11">SUM(H17:H27)</f>
        <v>199014880</v>
      </c>
      <c r="I28" s="1059">
        <f t="shared" si="11"/>
        <v>212391109.30000004</v>
      </c>
      <c r="J28" s="611">
        <f t="shared" si="10"/>
        <v>228280220.23000005</v>
      </c>
      <c r="K28" s="611">
        <f t="shared" ref="K28:L28" si="12">SUM(K17:K27)</f>
        <v>72423400</v>
      </c>
      <c r="L28" s="1059">
        <f t="shared" si="12"/>
        <v>75711006.400000006</v>
      </c>
      <c r="M28" s="611">
        <f t="shared" si="10"/>
        <v>79912107.040000021</v>
      </c>
      <c r="N28" s="611">
        <f t="shared" ref="N28:O28" si="13">SUM(N17:N27)</f>
        <v>84213394</v>
      </c>
      <c r="O28" s="1059">
        <f t="shared" si="13"/>
        <v>90764733.400000006</v>
      </c>
      <c r="P28" s="611">
        <f t="shared" si="10"/>
        <v>97971206.74000001</v>
      </c>
    </row>
    <row r="31" spans="1:16" x14ac:dyDescent="0.2">
      <c r="B31" s="631"/>
      <c r="C31" s="631"/>
      <c r="D31" s="631"/>
      <c r="E31" s="631"/>
      <c r="F31" s="631"/>
      <c r="G31" s="631"/>
      <c r="H31" s="631"/>
      <c r="I31" s="631"/>
      <c r="J31" s="631"/>
      <c r="K31" s="631"/>
      <c r="L31" s="631"/>
      <c r="M31" s="631"/>
      <c r="N31" s="631"/>
      <c r="O31" s="631"/>
      <c r="P31" s="631"/>
    </row>
  </sheetData>
  <mergeCells count="11">
    <mergeCell ref="B15:D15"/>
    <mergeCell ref="E15:G15"/>
    <mergeCell ref="H15:J15"/>
    <mergeCell ref="K15:M15"/>
    <mergeCell ref="N15:P15"/>
    <mergeCell ref="A1:O1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9" scale="5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K9"/>
  <sheetViews>
    <sheetView workbookViewId="0">
      <selection activeCell="E6" sqref="E6"/>
    </sheetView>
  </sheetViews>
  <sheetFormatPr defaultColWidth="9.140625" defaultRowHeight="12.75" x14ac:dyDescent="0.2"/>
  <cols>
    <col min="1" max="1" width="3.5703125" customWidth="1"/>
    <col min="2" max="2" width="18.7109375" customWidth="1"/>
    <col min="3" max="3" width="10.42578125" customWidth="1"/>
    <col min="4" max="4" width="2.140625" customWidth="1"/>
    <col min="5" max="5" width="21.85546875" customWidth="1"/>
    <col min="6" max="6" width="14.140625" customWidth="1"/>
    <col min="7" max="7" width="9.140625" hidden="1" customWidth="1"/>
    <col min="8" max="8" width="18.85546875" customWidth="1"/>
    <col min="9" max="9" width="29.28515625" customWidth="1"/>
    <col min="10" max="11" width="9.140625" hidden="1" customWidth="1"/>
  </cols>
  <sheetData>
    <row r="1" spans="1:11" ht="39" customHeight="1" thickBot="1" x14ac:dyDescent="0.3">
      <c r="A1" s="2040" t="s">
        <v>587</v>
      </c>
      <c r="B1" s="2041"/>
      <c r="C1" s="2041"/>
      <c r="D1" s="2041"/>
      <c r="E1" s="2041"/>
      <c r="F1" s="2041"/>
      <c r="G1" s="2041"/>
      <c r="H1" s="2161"/>
      <c r="I1" s="1047"/>
      <c r="J1" s="1048"/>
      <c r="K1" s="1049"/>
    </row>
    <row r="3" spans="1:11" ht="13.5" thickBot="1" x14ac:dyDescent="0.25">
      <c r="A3" s="1079"/>
      <c r="B3" s="1079"/>
      <c r="C3" s="1079"/>
      <c r="D3" s="1079"/>
      <c r="E3" s="1079" t="s">
        <v>484</v>
      </c>
      <c r="F3" s="1079" t="s">
        <v>482</v>
      </c>
      <c r="G3" s="1079"/>
      <c r="H3" s="1079" t="s">
        <v>483</v>
      </c>
    </row>
    <row r="4" spans="1:11" x14ac:dyDescent="0.2">
      <c r="A4" s="50">
        <v>3</v>
      </c>
      <c r="B4" s="2158" t="s">
        <v>462</v>
      </c>
      <c r="C4" s="2158"/>
      <c r="D4" s="2158"/>
      <c r="E4" s="280">
        <v>8000000</v>
      </c>
      <c r="F4" s="128"/>
      <c r="G4" s="128"/>
      <c r="H4" s="622"/>
    </row>
    <row r="5" spans="1:11" ht="44.25" customHeight="1" thickBot="1" x14ac:dyDescent="0.25">
      <c r="A5" s="68">
        <v>4</v>
      </c>
      <c r="B5" s="2159" t="s">
        <v>628</v>
      </c>
      <c r="C5" s="2159"/>
      <c r="D5" s="2159"/>
      <c r="E5" s="296">
        <v>26500000</v>
      </c>
      <c r="F5" s="326">
        <v>26500000</v>
      </c>
      <c r="G5" s="326"/>
      <c r="H5" s="987">
        <v>0</v>
      </c>
      <c r="I5" s="273"/>
    </row>
    <row r="6" spans="1:11" ht="13.5" thickBot="1" x14ac:dyDescent="0.25">
      <c r="A6" s="305"/>
      <c r="B6" s="2160" t="s">
        <v>481</v>
      </c>
      <c r="C6" s="2160"/>
      <c r="D6" s="2160"/>
      <c r="E6" s="1050">
        <f>SUM(E4:E5)</f>
        <v>34500000</v>
      </c>
      <c r="F6" s="1051">
        <f>SUM(F4:F5)</f>
        <v>26500000</v>
      </c>
      <c r="G6" s="1051"/>
      <c r="H6" s="623">
        <f>SUM(H4:H5)</f>
        <v>0</v>
      </c>
    </row>
    <row r="9" spans="1:11" x14ac:dyDescent="0.2">
      <c r="F9" s="631"/>
    </row>
  </sheetData>
  <mergeCells count="4">
    <mergeCell ref="B4:D4"/>
    <mergeCell ref="B5:D5"/>
    <mergeCell ref="B6:D6"/>
    <mergeCell ref="A1:H1"/>
  </mergeCells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55096-425D-4F44-945F-124306280AA6}">
  <dimension ref="A1:G40"/>
  <sheetViews>
    <sheetView workbookViewId="0">
      <selection sqref="A1:G41"/>
    </sheetView>
  </sheetViews>
  <sheetFormatPr defaultRowHeight="12.75" x14ac:dyDescent="0.2"/>
  <cols>
    <col min="1" max="1" width="7.5703125" bestFit="1" customWidth="1"/>
    <col min="2" max="2" width="35.7109375" bestFit="1" customWidth="1"/>
    <col min="3" max="5" width="15.5703125" bestFit="1" customWidth="1"/>
    <col min="6" max="6" width="14.42578125" bestFit="1" customWidth="1"/>
    <col min="7" max="7" width="15.5703125" bestFit="1" customWidth="1"/>
  </cols>
  <sheetData>
    <row r="1" spans="1:7" ht="44.25" customHeight="1" thickBot="1" x14ac:dyDescent="0.3">
      <c r="A1" s="2054" t="s">
        <v>651</v>
      </c>
      <c r="B1" s="2055"/>
      <c r="C1" s="2055"/>
      <c r="D1" s="2055"/>
      <c r="E1" s="2055"/>
      <c r="F1" s="2055"/>
      <c r="G1" s="2056"/>
    </row>
    <row r="2" spans="1:7" ht="15.75" x14ac:dyDescent="0.25">
      <c r="A2" s="262"/>
      <c r="B2" s="29"/>
      <c r="C2" s="1897"/>
      <c r="D2" s="1897"/>
      <c r="E2" s="1897"/>
      <c r="F2" s="1897"/>
      <c r="G2" s="1896"/>
    </row>
    <row r="3" spans="1:7" x14ac:dyDescent="0.2">
      <c r="A3" s="263"/>
      <c r="B3" s="1897"/>
      <c r="C3" s="1897"/>
      <c r="D3" s="1897"/>
      <c r="E3" s="1897"/>
      <c r="F3" s="1897"/>
      <c r="G3" s="1896"/>
    </row>
    <row r="4" spans="1:7" x14ac:dyDescent="0.2">
      <c r="A4" s="263"/>
      <c r="B4" s="1897"/>
      <c r="C4" s="1897"/>
      <c r="D4" s="1897"/>
      <c r="E4" s="1897"/>
      <c r="F4" s="1897"/>
      <c r="G4" s="1896"/>
    </row>
    <row r="5" spans="1:7" ht="31.5" x14ac:dyDescent="0.2">
      <c r="A5" s="266" t="s">
        <v>224</v>
      </c>
      <c r="B5" s="864" t="s">
        <v>220</v>
      </c>
      <c r="C5" s="71" t="s">
        <v>57</v>
      </c>
      <c r="D5" s="71" t="s">
        <v>90</v>
      </c>
      <c r="E5" s="71" t="s">
        <v>91</v>
      </c>
      <c r="F5" s="71" t="s">
        <v>370</v>
      </c>
      <c r="G5" s="111" t="s">
        <v>53</v>
      </c>
    </row>
    <row r="6" spans="1:7" x14ac:dyDescent="0.2">
      <c r="A6" s="923" t="s">
        <v>503</v>
      </c>
      <c r="B6" s="889" t="s">
        <v>652</v>
      </c>
      <c r="C6" s="890"/>
      <c r="D6" s="890"/>
      <c r="E6" s="890"/>
      <c r="F6" s="890"/>
      <c r="G6" s="894"/>
    </row>
    <row r="7" spans="1:7" x14ac:dyDescent="0.2">
      <c r="A7" s="1237"/>
      <c r="B7" s="1420" t="s">
        <v>349</v>
      </c>
      <c r="C7" s="1342"/>
      <c r="D7" s="1342"/>
      <c r="E7" s="1342"/>
      <c r="F7" s="1342"/>
      <c r="G7" s="1392">
        <f t="shared" ref="G7:G8" si="0">SUM(C7:F7)</f>
        <v>0</v>
      </c>
    </row>
    <row r="8" spans="1:7" ht="13.5" thickBot="1" x14ac:dyDescent="0.25">
      <c r="A8" s="675"/>
      <c r="B8" s="1770" t="s">
        <v>350</v>
      </c>
      <c r="C8" s="892">
        <v>2699414</v>
      </c>
      <c r="D8" s="892">
        <v>410000</v>
      </c>
      <c r="E8" s="892">
        <v>400000</v>
      </c>
      <c r="F8" s="892"/>
      <c r="G8" s="1768">
        <f t="shared" si="0"/>
        <v>3509414</v>
      </c>
    </row>
    <row r="9" spans="1:7" x14ac:dyDescent="0.2">
      <c r="A9" s="2127" t="s">
        <v>92</v>
      </c>
      <c r="B9" s="2128"/>
      <c r="C9" s="915"/>
      <c r="D9" s="915"/>
      <c r="E9" s="915"/>
      <c r="F9" s="915"/>
      <c r="G9" s="891"/>
    </row>
    <row r="10" spans="1:7" x14ac:dyDescent="0.2">
      <c r="A10" s="917"/>
      <c r="B10" s="1414" t="s">
        <v>349</v>
      </c>
      <c r="C10" s="1946"/>
      <c r="D10" s="1946"/>
      <c r="E10" s="1946"/>
      <c r="F10" s="1946"/>
      <c r="G10" s="1954"/>
    </row>
    <row r="11" spans="1:7" x14ac:dyDescent="0.2">
      <c r="A11" s="919"/>
      <c r="B11" s="1415" t="s">
        <v>350</v>
      </c>
      <c r="C11" s="1950">
        <f>C8</f>
        <v>2699414</v>
      </c>
      <c r="D11" s="1950">
        <f t="shared" ref="D11:G11" si="1">D8</f>
        <v>410000</v>
      </c>
      <c r="E11" s="1950">
        <f t="shared" si="1"/>
        <v>400000</v>
      </c>
      <c r="F11" s="1950">
        <f t="shared" si="1"/>
        <v>0</v>
      </c>
      <c r="G11" s="1950">
        <f t="shared" si="1"/>
        <v>3509414</v>
      </c>
    </row>
    <row r="12" spans="1:7" ht="13.5" thickBot="1" x14ac:dyDescent="0.25">
      <c r="A12" s="658"/>
      <c r="B12" s="659"/>
      <c r="C12" s="654"/>
      <c r="D12" s="654"/>
      <c r="E12" s="654"/>
      <c r="F12" s="654"/>
      <c r="G12" s="862"/>
    </row>
    <row r="13" spans="1:7" ht="31.5" x14ac:dyDescent="0.2">
      <c r="A13" s="1388" t="s">
        <v>224</v>
      </c>
      <c r="B13" s="864" t="s">
        <v>220</v>
      </c>
      <c r="C13" s="1292" t="s">
        <v>93</v>
      </c>
      <c r="D13" s="1292" t="s">
        <v>415</v>
      </c>
      <c r="E13" s="1292" t="s">
        <v>295</v>
      </c>
      <c r="F13" s="1292"/>
      <c r="G13" s="1294"/>
    </row>
    <row r="14" spans="1:7" x14ac:dyDescent="0.2">
      <c r="A14" s="673" t="s">
        <v>278</v>
      </c>
      <c r="B14" s="889" t="s">
        <v>280</v>
      </c>
      <c r="C14" s="890"/>
      <c r="D14" s="890"/>
      <c r="E14" s="890"/>
      <c r="F14" s="890"/>
      <c r="G14" s="894"/>
    </row>
    <row r="15" spans="1:7" x14ac:dyDescent="0.2">
      <c r="A15" s="1237"/>
      <c r="B15" s="1420" t="s">
        <v>349</v>
      </c>
      <c r="C15" s="1342"/>
      <c r="D15" s="1342"/>
      <c r="E15" s="1342"/>
      <c r="F15" s="1342"/>
      <c r="G15" s="929">
        <f t="shared" ref="G15:G16" si="2">SUM(C15:F15)</f>
        <v>0</v>
      </c>
    </row>
    <row r="16" spans="1:7" ht="13.5" thickBot="1" x14ac:dyDescent="0.25">
      <c r="A16" s="1774"/>
      <c r="B16" s="1419" t="s">
        <v>350</v>
      </c>
      <c r="C16" s="892"/>
      <c r="D16" s="892">
        <f>G11</f>
        <v>3509414</v>
      </c>
      <c r="E16" s="892"/>
      <c r="F16" s="892"/>
      <c r="G16" s="893">
        <f t="shared" si="2"/>
        <v>3509414</v>
      </c>
    </row>
    <row r="17" spans="1:7" x14ac:dyDescent="0.2">
      <c r="A17" s="2137" t="s">
        <v>94</v>
      </c>
      <c r="B17" s="2138"/>
      <c r="C17" s="1942"/>
      <c r="D17" s="1942"/>
      <c r="E17" s="1942"/>
      <c r="F17" s="1942"/>
      <c r="G17" s="1943"/>
    </row>
    <row r="18" spans="1:7" x14ac:dyDescent="0.2">
      <c r="A18" s="1944"/>
      <c r="B18" s="1945" t="s">
        <v>349</v>
      </c>
      <c r="C18" s="1946"/>
      <c r="D18" s="1946"/>
      <c r="E18" s="1946"/>
      <c r="F18" s="1946"/>
      <c r="G18" s="1947"/>
    </row>
    <row r="19" spans="1:7" x14ac:dyDescent="0.2">
      <c r="A19" s="1948"/>
      <c r="B19" s="1949" t="s">
        <v>350</v>
      </c>
      <c r="C19" s="1950"/>
      <c r="D19" s="1950">
        <f>D16</f>
        <v>3509414</v>
      </c>
      <c r="E19" s="1950"/>
      <c r="F19" s="1950"/>
      <c r="G19" s="1951">
        <f>G16</f>
        <v>3509414</v>
      </c>
    </row>
    <row r="20" spans="1:7" x14ac:dyDescent="0.2">
      <c r="A20" s="710"/>
      <c r="B20" s="1352"/>
      <c r="C20" s="1353"/>
      <c r="D20" s="1353"/>
      <c r="E20" s="1353"/>
      <c r="F20" s="1353"/>
      <c r="G20" s="1417"/>
    </row>
    <row r="21" spans="1:7" ht="13.5" thickBot="1" x14ac:dyDescent="0.25">
      <c r="A21" s="707"/>
      <c r="B21" s="654"/>
      <c r="C21" s="654"/>
      <c r="D21" s="654"/>
      <c r="E21" s="654"/>
      <c r="F21" s="654"/>
      <c r="G21" s="654"/>
    </row>
    <row r="22" spans="1:7" ht="16.5" thickBot="1" x14ac:dyDescent="0.3">
      <c r="A22" s="2120" t="s">
        <v>583</v>
      </c>
      <c r="B22" s="2121"/>
      <c r="C22" s="2121"/>
      <c r="D22" s="2121"/>
      <c r="E22" s="2121"/>
      <c r="F22" s="2121"/>
      <c r="G22" s="2122"/>
    </row>
    <row r="23" spans="1:7" ht="31.5" x14ac:dyDescent="0.2">
      <c r="A23" s="863" t="s">
        <v>224</v>
      </c>
      <c r="B23" s="864" t="s">
        <v>220</v>
      </c>
      <c r="C23" s="865" t="s">
        <v>57</v>
      </c>
      <c r="D23" s="865" t="s">
        <v>90</v>
      </c>
      <c r="E23" s="865" t="s">
        <v>91</v>
      </c>
      <c r="F23" s="865" t="s">
        <v>370</v>
      </c>
      <c r="G23" s="866" t="s">
        <v>53</v>
      </c>
    </row>
    <row r="24" spans="1:7" x14ac:dyDescent="0.2">
      <c r="A24" s="1433"/>
      <c r="B24" s="1434"/>
      <c r="C24" s="1435"/>
      <c r="D24" s="1435"/>
      <c r="E24" s="1435"/>
      <c r="F24" s="1435"/>
      <c r="G24" s="899"/>
    </row>
    <row r="25" spans="1:7" x14ac:dyDescent="0.2">
      <c r="A25" s="2135" t="s">
        <v>176</v>
      </c>
      <c r="B25" s="2136"/>
      <c r="C25" s="877"/>
      <c r="D25" s="877"/>
      <c r="E25" s="877"/>
      <c r="F25" s="877"/>
      <c r="G25" s="1392"/>
    </row>
    <row r="26" spans="1:7" x14ac:dyDescent="0.2">
      <c r="A26" s="923" t="s">
        <v>503</v>
      </c>
      <c r="B26" s="889" t="s">
        <v>652</v>
      </c>
      <c r="C26" s="1342"/>
      <c r="D26" s="1342"/>
      <c r="E26" s="1342"/>
      <c r="F26" s="1342"/>
      <c r="G26" s="1392"/>
    </row>
    <row r="27" spans="1:7" x14ac:dyDescent="0.2">
      <c r="A27" s="1237"/>
      <c r="B27" s="1412" t="s">
        <v>349</v>
      </c>
      <c r="C27" s="1342">
        <f t="shared" ref="C27:E28" si="3">C7</f>
        <v>0</v>
      </c>
      <c r="D27" s="1342">
        <f t="shared" si="3"/>
        <v>0</v>
      </c>
      <c r="E27" s="1342">
        <f t="shared" si="3"/>
        <v>0</v>
      </c>
      <c r="F27" s="1342"/>
      <c r="G27" s="1392">
        <f t="shared" ref="G27:G28" si="4">SUM(C27:F27)</f>
        <v>0</v>
      </c>
    </row>
    <row r="28" spans="1:7" ht="13.5" thickBot="1" x14ac:dyDescent="0.25">
      <c r="A28" s="675"/>
      <c r="B28" s="1419" t="s">
        <v>350</v>
      </c>
      <c r="C28" s="892">
        <f t="shared" si="3"/>
        <v>2699414</v>
      </c>
      <c r="D28" s="892">
        <f t="shared" si="3"/>
        <v>410000</v>
      </c>
      <c r="E28" s="892">
        <f t="shared" si="3"/>
        <v>400000</v>
      </c>
      <c r="F28" s="892">
        <f>SUM(F8)</f>
        <v>0</v>
      </c>
      <c r="G28" s="1768">
        <f t="shared" si="4"/>
        <v>3509414</v>
      </c>
    </row>
    <row r="29" spans="1:7" ht="13.5" thickBot="1" x14ac:dyDescent="0.25">
      <c r="A29" s="2116" t="s">
        <v>92</v>
      </c>
      <c r="B29" s="2132"/>
      <c r="C29" s="1344"/>
      <c r="D29" s="1344"/>
      <c r="E29" s="1344"/>
      <c r="F29" s="1344"/>
      <c r="G29" s="1422"/>
    </row>
    <row r="30" spans="1:7" x14ac:dyDescent="0.2">
      <c r="A30" s="1423"/>
      <c r="B30" s="1424" t="s">
        <v>349</v>
      </c>
      <c r="C30" s="1952"/>
      <c r="D30" s="1952"/>
      <c r="E30" s="1952"/>
      <c r="F30" s="1952"/>
      <c r="G30" s="1953"/>
    </row>
    <row r="31" spans="1:7" x14ac:dyDescent="0.2">
      <c r="A31" s="919"/>
      <c r="B31" s="1415" t="s">
        <v>350</v>
      </c>
      <c r="C31" s="1950">
        <f>C28</f>
        <v>2699414</v>
      </c>
      <c r="D31" s="1950">
        <f t="shared" ref="D31:G31" si="5">D28</f>
        <v>410000</v>
      </c>
      <c r="E31" s="1950">
        <f t="shared" si="5"/>
        <v>400000</v>
      </c>
      <c r="F31" s="1950">
        <f t="shared" si="5"/>
        <v>0</v>
      </c>
      <c r="G31" s="1950">
        <f t="shared" si="5"/>
        <v>3509414</v>
      </c>
    </row>
    <row r="32" spans="1:7" ht="13.5" thickBot="1" x14ac:dyDescent="0.25">
      <c r="A32" s="658"/>
      <c r="B32" s="659"/>
      <c r="C32" s="654"/>
      <c r="D32" s="654"/>
      <c r="E32" s="654"/>
      <c r="F32" s="654"/>
      <c r="G32" s="862"/>
    </row>
    <row r="33" spans="1:7" ht="31.5" x14ac:dyDescent="0.2">
      <c r="A33" s="1388" t="s">
        <v>224</v>
      </c>
      <c r="B33" s="864" t="s">
        <v>220</v>
      </c>
      <c r="C33" s="1292" t="s">
        <v>93</v>
      </c>
      <c r="D33" s="1292" t="s">
        <v>296</v>
      </c>
      <c r="E33" s="1292"/>
      <c r="F33" s="1292"/>
      <c r="G33" s="1294"/>
    </row>
    <row r="34" spans="1:7" x14ac:dyDescent="0.2">
      <c r="A34" s="2139" t="s">
        <v>174</v>
      </c>
      <c r="B34" s="2140"/>
      <c r="C34" s="1437"/>
      <c r="D34" s="1437"/>
      <c r="E34" s="1437"/>
      <c r="F34" s="1437"/>
      <c r="G34" s="1438"/>
    </row>
    <row r="35" spans="1:7" x14ac:dyDescent="0.2">
      <c r="A35" s="923" t="s">
        <v>278</v>
      </c>
      <c r="B35" s="924" t="s">
        <v>280</v>
      </c>
      <c r="C35" s="1342"/>
      <c r="D35" s="1342"/>
      <c r="E35" s="1342"/>
      <c r="F35" s="1342"/>
      <c r="G35" s="1428"/>
    </row>
    <row r="36" spans="1:7" x14ac:dyDescent="0.2">
      <c r="A36" s="1237"/>
      <c r="B36" s="1412" t="s">
        <v>349</v>
      </c>
      <c r="C36" s="1342"/>
      <c r="D36" s="1342">
        <f>D15</f>
        <v>0</v>
      </c>
      <c r="E36" s="1342"/>
      <c r="F36" s="1342"/>
      <c r="G36" s="1428">
        <f t="shared" ref="G36:G37" si="6">SUM(C36:F36)</f>
        <v>0</v>
      </c>
    </row>
    <row r="37" spans="1:7" ht="13.5" thickBot="1" x14ac:dyDescent="0.25">
      <c r="A37" s="1774"/>
      <c r="B37" s="1419" t="s">
        <v>350</v>
      </c>
      <c r="C37" s="892"/>
      <c r="D37" s="892">
        <f>D16</f>
        <v>3509414</v>
      </c>
      <c r="E37" s="892"/>
      <c r="F37" s="892"/>
      <c r="G37" s="1426">
        <f t="shared" si="6"/>
        <v>3509414</v>
      </c>
    </row>
    <row r="38" spans="1:7" x14ac:dyDescent="0.2">
      <c r="A38" s="2127" t="s">
        <v>94</v>
      </c>
      <c r="B38" s="2128"/>
      <c r="C38" s="915"/>
      <c r="D38" s="1429"/>
      <c r="E38" s="915"/>
      <c r="F38" s="915"/>
      <c r="G38" s="1430"/>
    </row>
    <row r="39" spans="1:7" x14ac:dyDescent="0.2">
      <c r="A39" s="1431"/>
      <c r="B39" s="1414" t="s">
        <v>349</v>
      </c>
      <c r="C39" s="1403"/>
      <c r="D39" s="1403"/>
      <c r="E39" s="1403"/>
      <c r="F39" s="1403"/>
      <c r="G39" s="1404"/>
    </row>
    <row r="40" spans="1:7" x14ac:dyDescent="0.2">
      <c r="A40" s="939"/>
      <c r="B40" s="1415" t="s">
        <v>350</v>
      </c>
      <c r="C40" s="937"/>
      <c r="D40" s="937">
        <f>D37</f>
        <v>3509414</v>
      </c>
      <c r="E40" s="937"/>
      <c r="F40" s="937"/>
      <c r="G40" s="938">
        <f>G37</f>
        <v>3509414</v>
      </c>
    </row>
  </sheetData>
  <mergeCells count="8">
    <mergeCell ref="A29:B29"/>
    <mergeCell ref="A34:B34"/>
    <mergeCell ref="A38:B38"/>
    <mergeCell ref="A1:G1"/>
    <mergeCell ref="A9:B9"/>
    <mergeCell ref="A17:B17"/>
    <mergeCell ref="A22:G22"/>
    <mergeCell ref="A25:B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2"/>
  <sheetViews>
    <sheetView workbookViewId="0">
      <selection activeCell="C10" sqref="C10"/>
    </sheetView>
  </sheetViews>
  <sheetFormatPr defaultRowHeight="12.75" x14ac:dyDescent="0.2"/>
  <cols>
    <col min="1" max="1" width="38.7109375" customWidth="1"/>
    <col min="2" max="2" width="14.5703125" bestFit="1" customWidth="1"/>
    <col min="3" max="3" width="13.7109375" customWidth="1"/>
    <col min="4" max="4" width="35.42578125" customWidth="1"/>
    <col min="5" max="5" width="14.5703125" bestFit="1" customWidth="1"/>
    <col min="6" max="6" width="13" customWidth="1"/>
  </cols>
  <sheetData>
    <row r="1" spans="1:6" ht="37.5" customHeight="1" x14ac:dyDescent="0.25">
      <c r="A1" s="2031" t="s">
        <v>562</v>
      </c>
      <c r="B1" s="2032"/>
      <c r="C1" s="2032"/>
      <c r="D1" s="2032"/>
      <c r="E1" s="2032"/>
      <c r="F1" s="261"/>
    </row>
    <row r="2" spans="1:6" ht="6" customHeight="1" thickBot="1" x14ac:dyDescent="0.25">
      <c r="A2" s="227"/>
      <c r="B2" s="227"/>
      <c r="C2" s="227"/>
      <c r="D2" s="227"/>
      <c r="E2" s="227"/>
    </row>
    <row r="3" spans="1:6" ht="13.5" thickBot="1" x14ac:dyDescent="0.25">
      <c r="A3" s="2033" t="s">
        <v>40</v>
      </c>
      <c r="B3" s="2034"/>
      <c r="C3" s="293"/>
      <c r="D3" s="2035" t="s">
        <v>121</v>
      </c>
      <c r="E3" s="2036"/>
      <c r="F3" s="305"/>
    </row>
    <row r="4" spans="1:6" ht="6.75" customHeight="1" thickBot="1" x14ac:dyDescent="0.25">
      <c r="A4" s="123"/>
      <c r="B4" s="246"/>
      <c r="C4" s="247"/>
      <c r="D4" s="247"/>
      <c r="E4" s="247"/>
      <c r="F4" s="13"/>
    </row>
    <row r="5" spans="1:6" ht="23.25" customHeight="1" thickBot="1" x14ac:dyDescent="0.25">
      <c r="A5" s="289"/>
      <c r="B5" s="306" t="s">
        <v>353</v>
      </c>
      <c r="C5" s="307" t="s">
        <v>354</v>
      </c>
      <c r="D5" s="247"/>
      <c r="E5" s="306" t="s">
        <v>353</v>
      </c>
      <c r="F5" s="306" t="s">
        <v>354</v>
      </c>
    </row>
    <row r="6" spans="1:6" ht="14.25" customHeight="1" x14ac:dyDescent="0.2">
      <c r="A6" s="8"/>
      <c r="B6" s="57"/>
      <c r="C6" s="308"/>
      <c r="D6" s="237" t="s">
        <v>9</v>
      </c>
      <c r="E6" s="983">
        <f>'2.sz.melléklet'!C260</f>
        <v>340831000</v>
      </c>
      <c r="F6" s="309">
        <f>'2.sz.melléklet'!C261</f>
        <v>363375614</v>
      </c>
    </row>
    <row r="7" spans="1:6" x14ac:dyDescent="0.2">
      <c r="A7" s="50" t="s">
        <v>179</v>
      </c>
      <c r="B7" s="622">
        <f>'2.sz.melléklet'!D105</f>
        <v>682291000</v>
      </c>
      <c r="C7" s="59">
        <f>SUM('2.sz.melléklet'!D106)</f>
        <v>657291000</v>
      </c>
      <c r="D7" s="232" t="s">
        <v>303</v>
      </c>
      <c r="E7" s="622">
        <f>'2.sz.melléklet'!D260</f>
        <v>64353000</v>
      </c>
      <c r="F7" s="300">
        <f>'2.sz.melléklet'!D261</f>
        <v>70222791</v>
      </c>
    </row>
    <row r="8" spans="1:6" x14ac:dyDescent="0.2">
      <c r="A8" s="50" t="s">
        <v>292</v>
      </c>
      <c r="B8" s="622">
        <f>'2.sz.melléklet'!C105</f>
        <v>111871000</v>
      </c>
      <c r="C8" s="300">
        <f>SUM('2.sz.melléklet'!C106)</f>
        <v>111871000</v>
      </c>
      <c r="D8" s="232" t="s">
        <v>20</v>
      </c>
      <c r="E8" s="622">
        <f>'2.sz.melléklet'!E260</f>
        <v>347015483</v>
      </c>
      <c r="F8" s="300">
        <f>'2.sz.melléklet'!E261</f>
        <v>427281501</v>
      </c>
    </row>
    <row r="9" spans="1:6" x14ac:dyDescent="0.2">
      <c r="A9" s="50" t="s">
        <v>295</v>
      </c>
      <c r="B9" s="622">
        <f>SUM('2.sz.melléklet'!F105)</f>
        <v>46036000</v>
      </c>
      <c r="C9" s="300">
        <f>SUM('2.sz.melléklet'!H7+'2.sz.melléklet'!F106)</f>
        <v>46036000</v>
      </c>
      <c r="D9" s="232" t="s">
        <v>222</v>
      </c>
      <c r="E9" s="981">
        <f>'2.sz.melléklet'!F260</f>
        <v>23896000</v>
      </c>
      <c r="F9" s="300">
        <f>'2.sz.melléklet'!F261</f>
        <v>23896000</v>
      </c>
    </row>
    <row r="10" spans="1:6" ht="13.5" thickBot="1" x14ac:dyDescent="0.25">
      <c r="A10" s="233" t="s">
        <v>320</v>
      </c>
      <c r="B10" s="981">
        <f>'2.sz.melléklet'!E105</f>
        <v>134971058</v>
      </c>
      <c r="C10" s="301">
        <f>'2.sz.melléklet'!E106</f>
        <v>136755752</v>
      </c>
      <c r="D10" s="232" t="s">
        <v>223</v>
      </c>
      <c r="E10" s="986">
        <f>'2.sz.melléklet'!I260</f>
        <v>142159607</v>
      </c>
      <c r="F10" s="311">
        <f>'2.sz.melléklet'!I261</f>
        <v>142159607</v>
      </c>
    </row>
    <row r="11" spans="1:6" ht="13.5" thickBot="1" x14ac:dyDescent="0.25">
      <c r="A11" s="234" t="s">
        <v>190</v>
      </c>
      <c r="B11" s="982">
        <f>SUM(B7:B10)</f>
        <v>975169058</v>
      </c>
      <c r="C11" s="302">
        <f>SUM(C7:C10)</f>
        <v>951953752</v>
      </c>
      <c r="D11" s="242" t="s">
        <v>193</v>
      </c>
      <c r="E11" s="982">
        <f>SUM(E6:E10)</f>
        <v>918255090</v>
      </c>
      <c r="F11" s="325">
        <f>SUM(F6:F10)</f>
        <v>1026935513</v>
      </c>
    </row>
    <row r="12" spans="1:6" x14ac:dyDescent="0.2">
      <c r="A12" s="53" t="s">
        <v>100</v>
      </c>
      <c r="B12" s="983">
        <f>'2.sz.melléklet'!I105</f>
        <v>196528000</v>
      </c>
      <c r="C12" s="303">
        <f>'2.sz.melléklet'!I106</f>
        <v>196528000</v>
      </c>
      <c r="D12" s="232" t="s">
        <v>194</v>
      </c>
      <c r="E12" s="622">
        <f>'2.sz.melléklet'!G260</f>
        <v>238086912</v>
      </c>
      <c r="F12" s="303">
        <f>'2.sz.melléklet'!G261</f>
        <v>238086912</v>
      </c>
    </row>
    <row r="13" spans="1:6" x14ac:dyDescent="0.2">
      <c r="A13" s="50" t="s">
        <v>216</v>
      </c>
      <c r="B13" s="622">
        <f>SUM('2.sz.melléklet'!G105)</f>
        <v>174678258.55555555</v>
      </c>
      <c r="C13" s="392">
        <f>SUM('2.sz.melléklet'!G106)</f>
        <v>174678258.55555555</v>
      </c>
      <c r="D13" s="50" t="s">
        <v>318</v>
      </c>
      <c r="E13" s="622">
        <f>'2.sz.melléklet'!H260</f>
        <v>759898714</v>
      </c>
      <c r="F13" s="300">
        <f>'2.sz.melléklet'!H261</f>
        <v>683752738</v>
      </c>
    </row>
    <row r="14" spans="1:6" ht="13.5" thickBot="1" x14ac:dyDescent="0.25">
      <c r="A14" s="270"/>
      <c r="B14" s="984"/>
      <c r="C14" s="311"/>
      <c r="D14" s="68" t="s">
        <v>298</v>
      </c>
      <c r="E14" s="987">
        <f>'2.sz.melléklet'!J260</f>
        <v>23080050</v>
      </c>
      <c r="F14" s="311">
        <f>'2.sz.melléklet'!J261</f>
        <v>23080050</v>
      </c>
    </row>
    <row r="15" spans="1:6" ht="13.5" thickBot="1" x14ac:dyDescent="0.25">
      <c r="A15" s="234" t="s">
        <v>13</v>
      </c>
      <c r="B15" s="982">
        <f>SUM(B12:B13)</f>
        <v>371206258.55555558</v>
      </c>
      <c r="C15" s="1941">
        <f>SUM(C12:C14)</f>
        <v>371206258.55555558</v>
      </c>
      <c r="D15" s="242" t="s">
        <v>195</v>
      </c>
      <c r="E15" s="982">
        <f>SUM(E12:E14)</f>
        <v>1021065676</v>
      </c>
      <c r="F15" s="302">
        <f>SUM(F12:F14)</f>
        <v>944919700</v>
      </c>
    </row>
    <row r="16" spans="1:6" x14ac:dyDescent="0.2">
      <c r="A16" s="53"/>
      <c r="B16" s="983"/>
      <c r="C16" s="303"/>
      <c r="D16" s="50"/>
      <c r="E16" s="622"/>
      <c r="F16" s="303"/>
    </row>
    <row r="17" spans="1:6" x14ac:dyDescent="0.2">
      <c r="A17" s="50" t="s">
        <v>296</v>
      </c>
      <c r="B17" s="622">
        <f>SUM('2.sz.melléklet'!K105)</f>
        <v>300000000</v>
      </c>
      <c r="C17" s="300">
        <f>SUM('2.sz.melléklet'!K106)</f>
        <v>393178204</v>
      </c>
      <c r="D17" s="399" t="s">
        <v>488</v>
      </c>
      <c r="E17" s="622">
        <f>SUM('2.sz.melléklet'!M216)</f>
        <v>0</v>
      </c>
      <c r="F17" s="300">
        <f>SUM('2.sz.melléklet'!M217)</f>
        <v>65995335</v>
      </c>
    </row>
    <row r="18" spans="1:6" ht="13.5" thickBot="1" x14ac:dyDescent="0.25">
      <c r="A18" s="241" t="s">
        <v>296</v>
      </c>
      <c r="B18" s="985">
        <f>SUM(B16:B17)</f>
        <v>300000000</v>
      </c>
      <c r="C18" s="390">
        <f>SUM(C16:C17)</f>
        <v>393178204</v>
      </c>
      <c r="D18" s="495" t="s">
        <v>396</v>
      </c>
      <c r="E18" s="987">
        <f>SUM('2.sz.melléklet'!M114)</f>
        <v>5398843</v>
      </c>
      <c r="F18" s="385">
        <f>SUM('2.sz.melléklet'!M115)</f>
        <v>32581712</v>
      </c>
    </row>
    <row r="19" spans="1:6" ht="13.5" thickBot="1" x14ac:dyDescent="0.25">
      <c r="A19" s="234" t="s">
        <v>192</v>
      </c>
      <c r="B19" s="982">
        <f>B11+B15+B18</f>
        <v>1646375316.5555556</v>
      </c>
      <c r="C19" s="302">
        <f>SUM(C11,C15,C18)</f>
        <v>1716338214.5555556</v>
      </c>
      <c r="D19" s="242" t="s">
        <v>124</v>
      </c>
      <c r="E19" s="982">
        <f>SUM(E17:E18)</f>
        <v>5398843</v>
      </c>
      <c r="F19" s="325">
        <f>SUM(F17:F18)</f>
        <v>98577047</v>
      </c>
    </row>
    <row r="20" spans="1:6" ht="25.5" customHeight="1" x14ac:dyDescent="0.2">
      <c r="A20" s="54" t="s">
        <v>395</v>
      </c>
      <c r="B20" s="983">
        <f>SUM('2.sz.melléklet'!J105)</f>
        <v>379000000</v>
      </c>
      <c r="C20" s="303">
        <f>SUM('2.sz.melléklet'!J16)</f>
        <v>379000000</v>
      </c>
      <c r="D20" s="387" t="s">
        <v>44</v>
      </c>
      <c r="E20" s="983">
        <f>'2.sz.melléklet'!K260+'2.sz.melléklet'!L260</f>
        <v>80655707.555555582</v>
      </c>
      <c r="F20" s="303">
        <f>'2.sz.melléklet'!K261+'2.sz.melléklet'!L261</f>
        <v>24905955</v>
      </c>
    </row>
    <row r="21" spans="1:6" ht="13.5" thickBot="1" x14ac:dyDescent="0.25">
      <c r="A21" s="233" t="s">
        <v>196</v>
      </c>
      <c r="B21" s="981"/>
      <c r="C21" s="304">
        <f>SUM('2.sz.melléklet'!K7)</f>
        <v>0</v>
      </c>
      <c r="D21" s="386" t="s">
        <v>397</v>
      </c>
      <c r="E21" s="986"/>
      <c r="F21" s="385">
        <f>SUM('2.sz.melléklet'!M112)</f>
        <v>0</v>
      </c>
    </row>
    <row r="22" spans="1:6" ht="13.5" thickBot="1" x14ac:dyDescent="0.25">
      <c r="A22" s="234" t="s">
        <v>197</v>
      </c>
      <c r="B22" s="982">
        <f>B19+B21+B20</f>
        <v>2025375316.5555556</v>
      </c>
      <c r="C22" s="302">
        <f>SUM(C19:C21)</f>
        <v>2095338214.5555556</v>
      </c>
      <c r="D22" s="242" t="s">
        <v>198</v>
      </c>
      <c r="E22" s="982">
        <f>E11+E15+E19+E20</f>
        <v>2025375316.5555556</v>
      </c>
      <c r="F22" s="388">
        <f>SUM(F11+F15+F20+F19+F21)</f>
        <v>2095338215</v>
      </c>
    </row>
  </sheetData>
  <mergeCells count="3">
    <mergeCell ref="A1:E1"/>
    <mergeCell ref="A3:B3"/>
    <mergeCell ref="D3:E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2"/>
  <sheetViews>
    <sheetView topLeftCell="A4" workbookViewId="0">
      <selection activeCell="G44" sqref="G44:G46"/>
    </sheetView>
  </sheetViews>
  <sheetFormatPr defaultRowHeight="12.75" x14ac:dyDescent="0.2"/>
  <cols>
    <col min="1" max="1" width="26.7109375" customWidth="1"/>
    <col min="2" max="2" width="12.28515625" customWidth="1"/>
    <col min="3" max="4" width="9.28515625" bestFit="1" customWidth="1"/>
    <col min="5" max="14" width="10" bestFit="1" customWidth="1"/>
    <col min="15" max="15" width="15.28515625" customWidth="1"/>
    <col min="16" max="16" width="12.28515625" bestFit="1" customWidth="1"/>
    <col min="17" max="17" width="10.85546875" bestFit="1" customWidth="1"/>
  </cols>
  <sheetData>
    <row r="1" spans="1:17" ht="13.5" thickBot="1" x14ac:dyDescent="0.25"/>
    <row r="2" spans="1:17" ht="29.25" customHeight="1" thickBot="1" x14ac:dyDescent="0.3">
      <c r="A2" s="2037" t="s">
        <v>563</v>
      </c>
      <c r="B2" s="2038"/>
      <c r="C2" s="2038"/>
      <c r="D2" s="2038"/>
      <c r="E2" s="2038"/>
      <c r="F2" s="2038"/>
      <c r="G2" s="2038"/>
      <c r="H2" s="2038"/>
      <c r="I2" s="2038"/>
      <c r="J2" s="2038"/>
      <c r="K2" s="2038"/>
      <c r="L2" s="2038"/>
      <c r="M2" s="2038"/>
      <c r="N2" s="2039"/>
    </row>
    <row r="3" spans="1:17" x14ac:dyDescent="0.2">
      <c r="A3" s="168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169"/>
    </row>
    <row r="4" spans="1:17" ht="13.5" thickBot="1" x14ac:dyDescent="0.25">
      <c r="A4" s="170" t="s">
        <v>134</v>
      </c>
      <c r="B4" s="171"/>
      <c r="C4" s="172"/>
      <c r="D4" s="172"/>
      <c r="E4" s="172"/>
      <c r="F4" s="171"/>
      <c r="G4" s="173"/>
      <c r="H4" s="173"/>
      <c r="I4" s="174"/>
      <c r="J4" s="175"/>
      <c r="K4" s="175"/>
      <c r="L4" s="176"/>
      <c r="M4" s="175"/>
      <c r="N4" s="177"/>
    </row>
    <row r="5" spans="1:17" x14ac:dyDescent="0.2">
      <c r="A5" s="31" t="s">
        <v>32</v>
      </c>
      <c r="B5" s="34" t="s">
        <v>0</v>
      </c>
      <c r="C5" s="32" t="s">
        <v>33</v>
      </c>
      <c r="D5" s="32" t="s">
        <v>34</v>
      </c>
      <c r="E5" s="32" t="s">
        <v>35</v>
      </c>
      <c r="F5" s="32" t="s">
        <v>36</v>
      </c>
      <c r="G5" s="32" t="s">
        <v>37</v>
      </c>
      <c r="H5" s="32" t="s">
        <v>38</v>
      </c>
      <c r="I5" s="32" t="s">
        <v>39</v>
      </c>
      <c r="J5" s="32" t="s">
        <v>47</v>
      </c>
      <c r="K5" s="33" t="s">
        <v>48</v>
      </c>
      <c r="L5" s="32" t="s">
        <v>49</v>
      </c>
      <c r="M5" s="32" t="s">
        <v>50</v>
      </c>
      <c r="N5" s="34" t="s">
        <v>51</v>
      </c>
    </row>
    <row r="6" spans="1:17" ht="13.5" thickBot="1" x14ac:dyDescent="0.25">
      <c r="A6" s="35" t="s">
        <v>40</v>
      </c>
      <c r="B6" s="37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7"/>
    </row>
    <row r="7" spans="1:17" x14ac:dyDescent="0.2">
      <c r="A7" s="38"/>
      <c r="B7" s="40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0"/>
    </row>
    <row r="8" spans="1:17" x14ac:dyDescent="0.2">
      <c r="A8" s="41" t="s">
        <v>292</v>
      </c>
      <c r="B8" s="999">
        <f>SUM('2.sz.melléklet'!C105)</f>
        <v>111871000</v>
      </c>
      <c r="C8" s="1000">
        <f>SUM('17. sz.melléklet'!C8+'17. sz.melléklet'!C39+'17. sz.melléklet'!C57+'17. sz.melléklet'!C75+'17. sz.melléklet'!C93)</f>
        <v>9322583.333333334</v>
      </c>
      <c r="D8" s="1000">
        <f>SUM('17. sz.melléklet'!D8+'17. sz.melléklet'!D39+'17. sz.melléklet'!D57+'17. sz.melléklet'!D75+'17. sz.melléklet'!D93)</f>
        <v>9322583.333333334</v>
      </c>
      <c r="E8" s="1000">
        <f>SUM('17. sz.melléklet'!E8+'17. sz.melléklet'!E39+'17. sz.melléklet'!E57+'17. sz.melléklet'!E75+'17. sz.melléklet'!E93)</f>
        <v>9322583.333333334</v>
      </c>
      <c r="F8" s="1000">
        <f>SUM('17. sz.melléklet'!F8+'17. sz.melléklet'!F39+'17. sz.melléklet'!F57+'17. sz.melléklet'!F75+'17. sz.melléklet'!F93)</f>
        <v>9322583.333333334</v>
      </c>
      <c r="G8" s="1000">
        <f>SUM('17. sz.melléklet'!G8+'17. sz.melléklet'!G39+'17. sz.melléklet'!G57+'17. sz.melléklet'!G75+'17. sz.melléklet'!G93)</f>
        <v>9322583.333333334</v>
      </c>
      <c r="H8" s="1000">
        <f>SUM('17. sz.melléklet'!H8+'17. sz.melléklet'!H39+'17. sz.melléklet'!H57+'17. sz.melléklet'!H75+'17. sz.melléklet'!H93)</f>
        <v>9322583.333333334</v>
      </c>
      <c r="I8" s="1000">
        <f>SUM('17. sz.melléklet'!I8+'17. sz.melléklet'!I39+'17. sz.melléklet'!I57+'17. sz.melléklet'!I75+'17. sz.melléklet'!I93)</f>
        <v>9322583.333333334</v>
      </c>
      <c r="J8" s="1000">
        <f>SUM('17. sz.melléklet'!J8+'17. sz.melléklet'!J39+'17. sz.melléklet'!J57+'17. sz.melléklet'!J75+'17. sz.melléklet'!J93)</f>
        <v>9322583.333333334</v>
      </c>
      <c r="K8" s="1000">
        <f>SUM('17. sz.melléklet'!K8+'17. sz.melléklet'!K39+'17. sz.melléklet'!K57+'17. sz.melléklet'!K75+'17. sz.melléklet'!K93)</f>
        <v>9322583.333333334</v>
      </c>
      <c r="L8" s="1000">
        <f>SUM('17. sz.melléklet'!L8+'17. sz.melléklet'!L39+'17. sz.melléklet'!L57+'17. sz.melléklet'!L75+'17. sz.melléklet'!L93)</f>
        <v>9322583.333333334</v>
      </c>
      <c r="M8" s="1000">
        <f>SUM('17. sz.melléklet'!M8+'17. sz.melléklet'!M39+'17. sz.melléklet'!M57+'17. sz.melléklet'!M75+'17. sz.melléklet'!M93)</f>
        <v>9322583.333333334</v>
      </c>
      <c r="N8" s="1000">
        <f>SUM('17. sz.melléklet'!N8+'17. sz.melléklet'!N39+'17. sz.melléklet'!N57+'17. sz.melléklet'!N75+'17. sz.melléklet'!N93)</f>
        <v>9322583.333333334</v>
      </c>
      <c r="O8" s="179"/>
      <c r="P8" s="631"/>
      <c r="Q8" s="631"/>
    </row>
    <row r="9" spans="1:17" x14ac:dyDescent="0.2">
      <c r="A9" s="41" t="s">
        <v>179</v>
      </c>
      <c r="B9" s="1001">
        <f>SUM('2.sz.melléklet'!D105)</f>
        <v>682291000</v>
      </c>
      <c r="C9" s="1002">
        <f>SUM('17. sz.melléklet'!C9+'17. sz.melléklet'!C38)</f>
        <v>42643187.5</v>
      </c>
      <c r="D9" s="1002">
        <f>SUM('17. sz.melléklet'!D9+'17. sz.melléklet'!D38)</f>
        <v>42643187.5</v>
      </c>
      <c r="E9" s="1002">
        <f>SUM('17. sz.melléklet'!E9+'17. sz.melléklet'!E38)</f>
        <v>48978937.5</v>
      </c>
      <c r="F9" s="1002">
        <f>SUM('17. sz.melléklet'!F9+'17. sz.melléklet'!F38)</f>
        <v>42643187.5</v>
      </c>
      <c r="G9" s="1002">
        <f>SUM('17. sz.melléklet'!G9+'17. sz.melléklet'!G38)</f>
        <v>42643187.5</v>
      </c>
      <c r="H9" s="1002">
        <f>SUM('17. sz.melléklet'!H9+'17. sz.melléklet'!H38)</f>
        <v>42643187.5</v>
      </c>
      <c r="I9" s="1002">
        <f>SUM('17. sz.melléklet'!I9+'17. sz.melléklet'!I38)</f>
        <v>42643187.5</v>
      </c>
      <c r="J9" s="1002">
        <f>SUM('17. sz.melléklet'!J9+'17. sz.melléklet'!J38)</f>
        <v>42643187.5</v>
      </c>
      <c r="K9" s="1002">
        <f>SUM('17. sz.melléklet'!K9+'17. sz.melléklet'!K38)</f>
        <v>105988937.5</v>
      </c>
      <c r="L9" s="1002">
        <f>SUM('17. sz.melléklet'!L9+'17. sz.melléklet'!L38)</f>
        <v>42643187.5</v>
      </c>
      <c r="M9" s="1002">
        <f>SUM('17. sz.melléklet'!M9+'17. sz.melléklet'!M38)</f>
        <v>42643187.5</v>
      </c>
      <c r="N9" s="1002">
        <f>SUM('17. sz.melléklet'!N9+'17. sz.melléklet'!N38)</f>
        <v>143534437.5</v>
      </c>
      <c r="O9" s="179"/>
      <c r="P9" s="631"/>
      <c r="Q9" s="631"/>
    </row>
    <row r="10" spans="1:17" x14ac:dyDescent="0.2">
      <c r="A10" s="41" t="s">
        <v>311</v>
      </c>
      <c r="B10" s="1001">
        <f>SUM('2.sz.melléklet'!E105)</f>
        <v>134971058</v>
      </c>
      <c r="C10" s="1002">
        <f>SUM('17. sz.melléklet'!C10)</f>
        <v>11247588.166666666</v>
      </c>
      <c r="D10" s="1002">
        <f>SUM('17. sz.melléklet'!D10)</f>
        <v>11247588.166666666</v>
      </c>
      <c r="E10" s="1002">
        <f>SUM('17. sz.melléklet'!E10)</f>
        <v>11247588.166666666</v>
      </c>
      <c r="F10" s="1002">
        <f>SUM('17. sz.melléklet'!F10)</f>
        <v>11247588.166666666</v>
      </c>
      <c r="G10" s="1002">
        <f>SUM('17. sz.melléklet'!G10)</f>
        <v>11247588.166666666</v>
      </c>
      <c r="H10" s="1002">
        <f>SUM('17. sz.melléklet'!H10)</f>
        <v>11247588.166666666</v>
      </c>
      <c r="I10" s="1002">
        <f>SUM('17. sz.melléklet'!I10)</f>
        <v>11247588.166666666</v>
      </c>
      <c r="J10" s="1002">
        <f>SUM('17. sz.melléklet'!J10)</f>
        <v>11247588.166666666</v>
      </c>
      <c r="K10" s="1002">
        <f>SUM('17. sz.melléklet'!K10)</f>
        <v>11247588.166666666</v>
      </c>
      <c r="L10" s="1002">
        <f>SUM('17. sz.melléklet'!L10)</f>
        <v>11247588.166666666</v>
      </c>
      <c r="M10" s="1002">
        <f>SUM('17. sz.melléklet'!M10)</f>
        <v>11247588.166666666</v>
      </c>
      <c r="N10" s="1002">
        <f>SUM('17. sz.melléklet'!N10)</f>
        <v>11247588.166666666</v>
      </c>
      <c r="O10" s="179"/>
      <c r="P10" s="631"/>
      <c r="Q10" s="631"/>
    </row>
    <row r="11" spans="1:17" x14ac:dyDescent="0.2">
      <c r="A11" s="41" t="s">
        <v>100</v>
      </c>
      <c r="B11" s="1001">
        <f>SUM('5. sz.melléklet'!C44)</f>
        <v>196528000</v>
      </c>
      <c r="C11" s="1002">
        <f>SUM('17. sz.melléklet'!C11)</f>
        <v>0</v>
      </c>
      <c r="D11" s="1002">
        <f>SUM('17. sz.melléklet'!D11)</f>
        <v>0</v>
      </c>
      <c r="E11" s="1002">
        <f>SUM('17. sz.melléklet'!I11)+'17. sz.melléklet'!E11</f>
        <v>181728000</v>
      </c>
      <c r="F11" s="1002">
        <f>SUM('17. sz.melléklet'!F11)</f>
        <v>0</v>
      </c>
      <c r="G11" s="1002">
        <f>SUM('17. sz.melléklet'!G11)</f>
        <v>4800000</v>
      </c>
      <c r="H11" s="1002">
        <f>SUM('17. sz.melléklet'!H11)</f>
        <v>0</v>
      </c>
      <c r="I11" s="1002"/>
      <c r="J11" s="1002">
        <f>SUM('17. sz.melléklet'!J11)</f>
        <v>10000000</v>
      </c>
      <c r="K11" s="1002">
        <f>SUM('17. sz.melléklet'!K11)</f>
        <v>0</v>
      </c>
      <c r="L11" s="1002">
        <f>SUM('17. sz.melléklet'!L11)</f>
        <v>0</v>
      </c>
      <c r="M11" s="1002">
        <f>SUM('17. sz.melléklet'!M11)</f>
        <v>0</v>
      </c>
      <c r="N11" s="1002">
        <f>SUM('17. sz.melléklet'!N11)</f>
        <v>0</v>
      </c>
      <c r="O11" s="179"/>
      <c r="P11" s="631"/>
      <c r="Q11" s="631"/>
    </row>
    <row r="12" spans="1:17" x14ac:dyDescent="0.2">
      <c r="A12" s="41" t="s">
        <v>441</v>
      </c>
      <c r="B12" s="1001">
        <f>SUM('5. sz.melléklet'!C23+'15.sz.melléklet'!E30)</f>
        <v>220714258.55555555</v>
      </c>
      <c r="C12" s="1002">
        <f>SUM('17. sz.melléklet'!C12)+'17. sz.melléklet'!C77</f>
        <v>2868553</v>
      </c>
      <c r="D12" s="1002">
        <f>SUM('17. sz.melléklet'!D12)+'17. sz.melléklet'!D77</f>
        <v>3973000</v>
      </c>
      <c r="E12" s="1002">
        <f>SUM('17. sz.melléklet'!E12)+'17. sz.melléklet'!E77</f>
        <v>2093000</v>
      </c>
      <c r="F12" s="1002">
        <f>SUM('17. sz.melléklet'!F12)+'17. sz.melléklet'!F77</f>
        <v>101753850</v>
      </c>
      <c r="G12" s="1002">
        <f>SUM('17. sz.melléklet'!G12)+'17. sz.melléklet'!G77</f>
        <v>3973000</v>
      </c>
      <c r="H12" s="1002">
        <f>SUM('17. sz.melléklet'!H12)+'17. sz.melléklet'!H77</f>
        <v>2868553</v>
      </c>
      <c r="I12" s="1002">
        <f>SUM('17. sz.melléklet'!I12)+'17. sz.melléklet'!I77</f>
        <v>2093000</v>
      </c>
      <c r="J12" s="1002">
        <f>SUM('17. sz.melléklet'!J12)+'17. sz.melléklet'!J77</f>
        <v>5273000</v>
      </c>
      <c r="K12" s="1002">
        <f>SUM('17. sz.melléklet'!K12)+'17. sz.melléklet'!K77</f>
        <v>2868553</v>
      </c>
      <c r="L12" s="1002">
        <f>SUM('17. sz.melléklet'!L12)+'17. sz.melléklet'!L77</f>
        <v>3489420.5555555555</v>
      </c>
      <c r="M12" s="1002">
        <f>SUM('17. sz.melléklet'!M12)+'17. sz.melléklet'!M77</f>
        <v>85265094</v>
      </c>
      <c r="N12" s="1002">
        <f>SUM('17. sz.melléklet'!N12)+'17. sz.melléklet'!N77</f>
        <v>4195235</v>
      </c>
      <c r="O12" s="179"/>
      <c r="P12" s="631"/>
      <c r="Q12" s="631"/>
    </row>
    <row r="13" spans="1:17" x14ac:dyDescent="0.2">
      <c r="A13" s="41" t="s">
        <v>4</v>
      </c>
      <c r="B13" s="1001"/>
      <c r="C13" s="1002"/>
      <c r="D13" s="1002"/>
      <c r="E13" s="1002"/>
      <c r="F13" s="1002"/>
      <c r="G13" s="1002"/>
      <c r="H13" s="1002"/>
      <c r="I13" s="1002"/>
      <c r="J13" s="1002"/>
      <c r="K13" s="1002"/>
      <c r="L13" s="1002"/>
      <c r="M13" s="1002"/>
      <c r="N13" s="1003"/>
      <c r="O13" s="179"/>
      <c r="P13" s="631"/>
      <c r="Q13" s="631"/>
    </row>
    <row r="14" spans="1:17" x14ac:dyDescent="0.2">
      <c r="A14" s="41" t="s">
        <v>440</v>
      </c>
      <c r="B14" s="1001">
        <f>SUM('2.sz.melléklet'!J105)</f>
        <v>379000000</v>
      </c>
      <c r="C14" s="1002">
        <f>SUM('17. sz.melléklet'!C14)</f>
        <v>379000000</v>
      </c>
      <c r="D14" s="1002">
        <f>SUM('17. sz.melléklet'!D14)</f>
        <v>0</v>
      </c>
      <c r="E14" s="1002">
        <f>SUM('17. sz.melléklet'!E14)</f>
        <v>0</v>
      </c>
      <c r="F14" s="1002">
        <f>SUM('17. sz.melléklet'!F14)</f>
        <v>0</v>
      </c>
      <c r="G14" s="1002">
        <f>SUM('17. sz.melléklet'!G14)</f>
        <v>0</v>
      </c>
      <c r="H14" s="1002">
        <f>SUM('17. sz.melléklet'!H14)</f>
        <v>0</v>
      </c>
      <c r="I14" s="1002">
        <f>SUM('17. sz.melléklet'!I14)</f>
        <v>0</v>
      </c>
      <c r="J14" s="1002">
        <f>SUM('17. sz.melléklet'!J14)</f>
        <v>0</v>
      </c>
      <c r="K14" s="1002">
        <f>SUM('17. sz.melléklet'!K14)</f>
        <v>0</v>
      </c>
      <c r="L14" s="1002">
        <f>SUM('17. sz.melléklet'!L14)</f>
        <v>0</v>
      </c>
      <c r="M14" s="1002">
        <f>SUM('17. sz.melléklet'!M14)</f>
        <v>0</v>
      </c>
      <c r="N14" s="1002">
        <f>SUM('17. sz.melléklet'!N14)</f>
        <v>0</v>
      </c>
      <c r="O14" s="179"/>
      <c r="P14" s="631"/>
      <c r="Q14" s="631"/>
    </row>
    <row r="15" spans="1:17" ht="13.5" thickBot="1" x14ac:dyDescent="0.25">
      <c r="A15" s="350" t="s">
        <v>296</v>
      </c>
      <c r="B15" s="1004">
        <f>SUM('2.sz.melléklet'!K105+'6. sz.melléklet'!M18)</f>
        <v>765919000</v>
      </c>
      <c r="C15" s="1005">
        <f>SUM('17. sz.melléklet'!C15+'17. sz.melléklet'!C40+'17. sz.melléklet'!C58+'17. sz.melléklet'!C76+'17. sz.melléklet'!C94)</f>
        <v>38626583.333333336</v>
      </c>
      <c r="D15" s="1005">
        <f>SUM('17. sz.melléklet'!D15+'17. sz.melléklet'!D40+'17. sz.melléklet'!D58+'17. sz.melléklet'!D76+'17. sz.melléklet'!D94)</f>
        <v>58426533.333333336</v>
      </c>
      <c r="E15" s="1005">
        <f>SUM('17. sz.melléklet'!E15+'17. sz.melléklet'!E40+'17. sz.melléklet'!E58+'17. sz.melléklet'!E76+'17. sz.melléklet'!E94)</f>
        <v>58826533.333333336</v>
      </c>
      <c r="F15" s="1005">
        <f>SUM('17. sz.melléklet'!F15+'17. sz.melléklet'!F40+'17. sz.melléklet'!F58+'17. sz.melléklet'!F76+'17. sz.melléklet'!F94)</f>
        <v>58426533.333333336</v>
      </c>
      <c r="G15" s="1005">
        <f>SUM('17. sz.melléklet'!G15+'17. sz.melléklet'!G40+'17. sz.melléklet'!G58+'17. sz.melléklet'!G76+'17. sz.melléklet'!G94)</f>
        <v>140427883.33333334</v>
      </c>
      <c r="H15" s="1005">
        <f>SUM('17. sz.melléklet'!H15+'17. sz.melléklet'!H40+'17. sz.melléklet'!H58+'17. sz.melléklet'!H76+'17. sz.melléklet'!H94)</f>
        <v>178826583.33333334</v>
      </c>
      <c r="I15" s="1005">
        <f>SUM('17. sz.melléklet'!I15+'17. sz.melléklet'!I40+'17. sz.melléklet'!I58+'17. sz.melléklet'!I76+'17. sz.melléklet'!I94)</f>
        <v>38627343.333333336</v>
      </c>
      <c r="J15" s="1005">
        <f>SUM('17. sz.melléklet'!J15+'17. sz.melléklet'!J40+'17. sz.melléklet'!J58+'17. sz.melléklet'!J76+'17. sz.melléklet'!J94)</f>
        <v>38826033.333333336</v>
      </c>
      <c r="K15" s="1005">
        <f>SUM('17. sz.melléklet'!K15+'17. sz.melléklet'!K40+'17. sz.melléklet'!K58+'17. sz.melléklet'!K76+'17. sz.melléklet'!K94)</f>
        <v>38426173.333333336</v>
      </c>
      <c r="L15" s="1005">
        <f>SUM('17. sz.melléklet'!L15+'17. sz.melléklet'!L40+'17. sz.melléklet'!L58+'17. sz.melléklet'!L76+'17. sz.melléklet'!L94)</f>
        <v>38826133.333333336</v>
      </c>
      <c r="M15" s="1005">
        <f>SUM('17. sz.melléklet'!M15+'17. sz.melléklet'!M40+'17. sz.melléklet'!M58+'17. sz.melléklet'!M76+'17. sz.melléklet'!M94)</f>
        <v>38826533.333333336</v>
      </c>
      <c r="N15" s="1005">
        <f>SUM('17. sz.melléklet'!N15+'17. sz.melléklet'!N40+'17. sz.melléklet'!N58+'17. sz.melléklet'!N76+'17. sz.melléklet'!N94)</f>
        <v>38826133.333333336</v>
      </c>
      <c r="O15" s="179"/>
      <c r="P15" s="631"/>
      <c r="Q15" s="631"/>
    </row>
    <row r="16" spans="1:17" ht="13.5" thickBot="1" x14ac:dyDescent="0.25">
      <c r="A16" s="43" t="s">
        <v>19</v>
      </c>
      <c r="B16" s="1006">
        <f t="shared" ref="B16:N16" si="0">SUM(B8:B15)</f>
        <v>2491294316.5555553</v>
      </c>
      <c r="C16" s="1007">
        <f t="shared" si="0"/>
        <v>483708495.33333331</v>
      </c>
      <c r="D16" s="1007">
        <f t="shared" si="0"/>
        <v>125612892.33333334</v>
      </c>
      <c r="E16" s="1007">
        <f t="shared" si="0"/>
        <v>312196642.33333331</v>
      </c>
      <c r="F16" s="1007">
        <f t="shared" si="0"/>
        <v>223393742.33333334</v>
      </c>
      <c r="G16" s="1007">
        <f t="shared" si="0"/>
        <v>212414242.33333334</v>
      </c>
      <c r="H16" s="1007">
        <f t="shared" si="0"/>
        <v>244908495.33333334</v>
      </c>
      <c r="I16" s="1007">
        <f t="shared" si="0"/>
        <v>103933702.33333334</v>
      </c>
      <c r="J16" s="1007">
        <f t="shared" si="0"/>
        <v>117312392.33333334</v>
      </c>
      <c r="K16" s="1007">
        <f t="shared" si="0"/>
        <v>167853835.33333334</v>
      </c>
      <c r="L16" s="1007">
        <f t="shared" si="0"/>
        <v>105528912.8888889</v>
      </c>
      <c r="M16" s="1007">
        <f t="shared" si="0"/>
        <v>187304986.33333334</v>
      </c>
      <c r="N16" s="1007">
        <f t="shared" si="0"/>
        <v>207125977.33333334</v>
      </c>
      <c r="O16" s="179"/>
      <c r="P16" s="631"/>
      <c r="Q16" s="631"/>
    </row>
    <row r="17" spans="1:17" x14ac:dyDescent="0.2">
      <c r="A17" s="44"/>
      <c r="B17" s="1008"/>
      <c r="C17" s="1009"/>
      <c r="D17" s="1009"/>
      <c r="E17" s="1009"/>
      <c r="F17" s="1009"/>
      <c r="G17" s="1009"/>
      <c r="H17" s="1009"/>
      <c r="I17" s="1009"/>
      <c r="J17" s="1009"/>
      <c r="K17" s="1009"/>
      <c r="L17" s="1009"/>
      <c r="M17" s="1009"/>
      <c r="N17" s="1008"/>
      <c r="O17" s="179"/>
      <c r="P17" s="631"/>
      <c r="Q17" s="631"/>
    </row>
    <row r="18" spans="1:17" x14ac:dyDescent="0.2">
      <c r="A18" s="45" t="s">
        <v>41</v>
      </c>
      <c r="B18" s="1010"/>
      <c r="C18" s="1000"/>
      <c r="D18" s="1000"/>
      <c r="E18" s="1000"/>
      <c r="F18" s="1000"/>
      <c r="G18" s="1000"/>
      <c r="H18" s="1000"/>
      <c r="I18" s="1000"/>
      <c r="J18" s="1000"/>
      <c r="K18" s="1000"/>
      <c r="L18" s="1000"/>
      <c r="M18" s="1000"/>
      <c r="N18" s="1010"/>
      <c r="O18" s="179"/>
      <c r="P18" s="631"/>
      <c r="Q18" s="631"/>
    </row>
    <row r="19" spans="1:17" x14ac:dyDescent="0.2">
      <c r="A19" s="46"/>
      <c r="B19" s="1010"/>
      <c r="C19" s="1000"/>
      <c r="D19" s="1000"/>
      <c r="E19" s="1000"/>
      <c r="F19" s="1000"/>
      <c r="G19" s="1000"/>
      <c r="H19" s="1000"/>
      <c r="I19" s="1000"/>
      <c r="J19" s="1000"/>
      <c r="K19" s="1000"/>
      <c r="L19" s="1000"/>
      <c r="M19" s="1000"/>
      <c r="N19" s="1010"/>
      <c r="O19" s="179"/>
      <c r="P19" s="631"/>
      <c r="Q19" s="631"/>
    </row>
    <row r="20" spans="1:17" x14ac:dyDescent="0.2">
      <c r="A20" s="41" t="s">
        <v>42</v>
      </c>
      <c r="B20" s="999">
        <f>SUM('2.sz.melléklet'!C260+'2.sz.melléklet'!D260+'2.sz.melléklet'!E260+'2.sz.melléklet'!I260)</f>
        <v>894359090</v>
      </c>
      <c r="C20" s="1000">
        <f>SUM('17. sz.melléklet'!C20+'17. sz.melléklet'!C47+'17. sz.melléklet'!C64+'17. sz.melléklet'!C83+'17. sz.melléklet'!C101)</f>
        <v>74530329.166666672</v>
      </c>
      <c r="D20" s="1000">
        <f>SUM('17. sz.melléklet'!D20+'17. sz.melléklet'!D47+'17. sz.melléklet'!D64+'17. sz.melléklet'!D83+'17. sz.melléklet'!D101)</f>
        <v>74530329.166666672</v>
      </c>
      <c r="E20" s="1000">
        <f>SUM('17. sz.melléklet'!E20+'17. sz.melléklet'!E47+'17. sz.melléklet'!E64+'17. sz.melléklet'!E83+'17. sz.melléklet'!E101)</f>
        <v>74530329.166666672</v>
      </c>
      <c r="F20" s="1000">
        <f>SUM('17. sz.melléklet'!F20+'17. sz.melléklet'!F47+'17. sz.melléklet'!F64+'17. sz.melléklet'!F83+'17. sz.melléklet'!F101)</f>
        <v>74530329.166666672</v>
      </c>
      <c r="G20" s="1000">
        <f>SUM('17. sz.melléklet'!G20+'17. sz.melléklet'!G47+'17. sz.melléklet'!G64+'17. sz.melléklet'!G83+'17. sz.melléklet'!G101)</f>
        <v>74530329.166666672</v>
      </c>
      <c r="H20" s="1000">
        <f>SUM('17. sz.melléklet'!H20+'17. sz.melléklet'!H47+'17. sz.melléklet'!H64+'17. sz.melléklet'!H83+'17. sz.melléklet'!H101)</f>
        <v>74530329.166666672</v>
      </c>
      <c r="I20" s="1000">
        <f>SUM('17. sz.melléklet'!I20+'17. sz.melléklet'!I47+'17. sz.melléklet'!I64+'17. sz.melléklet'!I83+'17. sz.melléklet'!I101)</f>
        <v>74530329.166666672</v>
      </c>
      <c r="J20" s="1000">
        <f>SUM('17. sz.melléklet'!J20+'17. sz.melléklet'!J47+'17. sz.melléklet'!J64+'17. sz.melléklet'!J83+'17. sz.melléklet'!J101)</f>
        <v>74530329.166666672</v>
      </c>
      <c r="K20" s="1000">
        <f>SUM('17. sz.melléklet'!K20+'17. sz.melléklet'!K47+'17. sz.melléklet'!K64+'17. sz.melléklet'!K83+'17. sz.melléklet'!K101)</f>
        <v>74530329.166666672</v>
      </c>
      <c r="L20" s="1000">
        <f>SUM('17. sz.melléklet'!L20+'17. sz.melléklet'!L47+'17. sz.melléklet'!L64+'17. sz.melléklet'!L83+'17. sz.melléklet'!L101)</f>
        <v>74530329.166666672</v>
      </c>
      <c r="M20" s="1000">
        <f>SUM('17. sz.melléklet'!M20+'17. sz.melléklet'!M47+'17. sz.melléklet'!M64+'17. sz.melléklet'!M83+'17. sz.melléklet'!M101)</f>
        <v>74530329.166666672</v>
      </c>
      <c r="N20" s="1000">
        <f>SUM('17. sz.melléklet'!N20+'17. sz.melléklet'!N47+'17. sz.melléklet'!N64+'17. sz.melléklet'!N83+'17. sz.melléklet'!N101)</f>
        <v>74525469.166666672</v>
      </c>
      <c r="O20" s="179"/>
      <c r="P20" s="631"/>
      <c r="Q20" s="631"/>
    </row>
    <row r="21" spans="1:17" x14ac:dyDescent="0.2">
      <c r="A21" s="41" t="s">
        <v>43</v>
      </c>
      <c r="B21" s="999">
        <f>SUM('2.sz.melléklet'!G260)</f>
        <v>238086912</v>
      </c>
      <c r="C21" s="1000">
        <f>SUM('17. sz.melléklet'!C21)</f>
        <v>0</v>
      </c>
      <c r="D21" s="1000">
        <f>SUM('17. sz.melléklet'!D21)</f>
        <v>0</v>
      </c>
      <c r="E21" s="1000">
        <f>SUM('17. sz.melléklet'!E21)</f>
        <v>0</v>
      </c>
      <c r="F21" s="1000">
        <f>SUM('17. sz.melléklet'!F21)</f>
        <v>20000000</v>
      </c>
      <c r="G21" s="1000">
        <f>SUM('17. sz.melléklet'!G21)</f>
        <v>1500000</v>
      </c>
      <c r="H21" s="1000">
        <f>SUM('17. sz.melléklet'!H21)</f>
        <v>1658215</v>
      </c>
      <c r="I21" s="1000">
        <f>SUM('17. sz.melléklet'!I21)</f>
        <v>190239181</v>
      </c>
      <c r="J21" s="1000">
        <f>SUM('17. sz.melléklet'!J21)</f>
        <v>1500000</v>
      </c>
      <c r="K21" s="1000">
        <f>SUM('17. sz.melléklet'!K21)</f>
        <v>10660575</v>
      </c>
      <c r="L21" s="1000">
        <f>SUM('17. sz.melléklet'!L21)</f>
        <v>0</v>
      </c>
      <c r="M21" s="1000">
        <f>SUM('17. sz.melléklet'!M21)</f>
        <v>0</v>
      </c>
      <c r="N21" s="1000">
        <f>SUM('17. sz.melléklet'!N21)</f>
        <v>0</v>
      </c>
      <c r="O21" s="179"/>
      <c r="P21" s="631"/>
      <c r="Q21" s="631"/>
    </row>
    <row r="22" spans="1:17" x14ac:dyDescent="0.2">
      <c r="A22" s="41" t="s">
        <v>122</v>
      </c>
      <c r="B22" s="999">
        <f>SUM('2.sz.melléklet'!H260)</f>
        <v>759898714</v>
      </c>
      <c r="C22" s="1000">
        <f>SUM('17. sz.melléklet'!C22+'17. sz.melléklet'!C46+'17. sz.melléklet'!C65+'17. sz.melléklet'!C82+'17. sz.melléklet'!C100)</f>
        <v>0</v>
      </c>
      <c r="D22" s="1000">
        <f>SUM('17. sz.melléklet'!D22+'17. sz.melléklet'!D46+'17. sz.melléklet'!D65+'17. sz.melléklet'!D82+'17. sz.melléklet'!D100)</f>
        <v>959000</v>
      </c>
      <c r="E22" s="1000">
        <f>SUM('17. sz.melléklet'!E22+'17. sz.melléklet'!E46+'17. sz.melléklet'!E65+'17. sz.melléklet'!E82+'17. sz.melléklet'!E100)</f>
        <v>7534456</v>
      </c>
      <c r="F22" s="1000">
        <f>SUM('17. sz.melléklet'!F22+'17. sz.melléklet'!F46+'17. sz.melléklet'!F65+'17. sz.melléklet'!F82+'17. sz.melléklet'!F100)</f>
        <v>50000</v>
      </c>
      <c r="G22" s="1000">
        <f>SUM('17. sz.melléklet'!G22+'17. sz.melléklet'!G46+'17. sz.melléklet'!G65+'17. sz.melléklet'!G82+'17. sz.melléklet'!G100)</f>
        <v>23076000</v>
      </c>
      <c r="H22" s="1000">
        <f>SUM('17. sz.melléklet'!H22+'17. sz.melléklet'!H46+'17. sz.melléklet'!H65+'17. sz.melléklet'!H82+'17. sz.melléklet'!H100)</f>
        <v>7285333</v>
      </c>
      <c r="I22" s="1000">
        <f>SUM('17. sz.melléklet'!I22+'17. sz.melléklet'!I46+'17. sz.melléklet'!I65+'17. sz.melléklet'!I82+'17. sz.melléklet'!I100)</f>
        <v>50000</v>
      </c>
      <c r="J22" s="1000">
        <f>SUM('17. sz.melléklet'!J22+'17. sz.melléklet'!J46+'17. sz.melléklet'!J65+'17. sz.melléklet'!J82+'17. sz.melléklet'!J100)</f>
        <v>138701000</v>
      </c>
      <c r="K22" s="1000">
        <f>SUM('17. sz.melléklet'!K22+'17. sz.melléklet'!K46+'17. sz.melléklet'!K65+'17. sz.melléklet'!K82+'17. sz.melléklet'!K100)</f>
        <v>502566258</v>
      </c>
      <c r="L22" s="1000">
        <f>SUM('17. sz.melléklet'!L22+'17. sz.melléklet'!L46+'17. sz.melléklet'!L65+'17. sz.melléklet'!L82+'17. sz.melléklet'!L100)</f>
        <v>77550000</v>
      </c>
      <c r="M22" s="1000">
        <f>SUM('17. sz.melléklet'!M22+'17. sz.melléklet'!M46+'17. sz.melléklet'!M65+'17. sz.melléklet'!M82+'17. sz.melléklet'!M100)</f>
        <v>100000</v>
      </c>
      <c r="N22" s="1000">
        <f>SUM('17. sz.melléklet'!N22+'17. sz.melléklet'!N46+'17. sz.melléklet'!N65+'17. sz.melléklet'!N82+'17. sz.melléklet'!N100)</f>
        <v>76667</v>
      </c>
      <c r="O22" s="179"/>
      <c r="P22" s="631"/>
      <c r="Q22" s="631"/>
    </row>
    <row r="23" spans="1:17" x14ac:dyDescent="0.2">
      <c r="A23" s="41" t="s">
        <v>222</v>
      </c>
      <c r="B23" s="999">
        <f>SUM('2.sz.melléklet'!F260)</f>
        <v>23896000</v>
      </c>
      <c r="C23" s="1000">
        <f>SUM('17. sz.melléklet'!C23)</f>
        <v>1991333.3333333333</v>
      </c>
      <c r="D23" s="1000">
        <f>SUM('17. sz.melléklet'!D23)</f>
        <v>1991333.3333333333</v>
      </c>
      <c r="E23" s="1000">
        <f>SUM('17. sz.melléklet'!E23)</f>
        <v>1991333.3333333333</v>
      </c>
      <c r="F23" s="1000">
        <f>SUM('17. sz.melléklet'!F23)</f>
        <v>1991333.3333333333</v>
      </c>
      <c r="G23" s="1000">
        <f>SUM('17. sz.melléklet'!G23)</f>
        <v>1991333.3333333333</v>
      </c>
      <c r="H23" s="1000">
        <f>SUM('17. sz.melléklet'!H23)</f>
        <v>1991333.3333333333</v>
      </c>
      <c r="I23" s="1000">
        <f>SUM('17. sz.melléklet'!I23)</f>
        <v>1991333.3333333333</v>
      </c>
      <c r="J23" s="1000">
        <f>SUM('17. sz.melléklet'!J23)</f>
        <v>1991333.3333333333</v>
      </c>
      <c r="K23" s="1000">
        <f>SUM('17. sz.melléklet'!K23)</f>
        <v>1991333.3333333333</v>
      </c>
      <c r="L23" s="1000">
        <f>SUM('17. sz.melléklet'!L23)</f>
        <v>1991333.3333333333</v>
      </c>
      <c r="M23" s="1000">
        <f>SUM('17. sz.melléklet'!M23)</f>
        <v>1991333.3333333333</v>
      </c>
      <c r="N23" s="1000">
        <f>SUM('17. sz.melléklet'!N23)</f>
        <v>1991333.3333333333</v>
      </c>
      <c r="O23" s="179"/>
      <c r="P23" s="631"/>
      <c r="Q23" s="631"/>
    </row>
    <row r="24" spans="1:17" x14ac:dyDescent="0.2">
      <c r="A24" s="41" t="s">
        <v>442</v>
      </c>
      <c r="B24" s="999">
        <f>SUM('2.sz.melléklet'!J260)</f>
        <v>23080050</v>
      </c>
      <c r="C24" s="1000"/>
      <c r="D24" s="1000">
        <f>SUM('17. sz.melléklet'!D24)</f>
        <v>0</v>
      </c>
      <c r="E24" s="1000">
        <f>SUM('17. sz.melléklet'!E24)</f>
        <v>0</v>
      </c>
      <c r="F24" s="1000">
        <f>SUM('17. sz.melléklet'!F24)</f>
        <v>3116897</v>
      </c>
      <c r="G24" s="1000">
        <f>SUM('17. sz.melléklet'!G24)</f>
        <v>19963153</v>
      </c>
      <c r="H24" s="1000">
        <f>SUM('17. sz.melléklet'!H24)</f>
        <v>0</v>
      </c>
      <c r="I24" s="1000">
        <f>SUM('17. sz.melléklet'!I24)</f>
        <v>0</v>
      </c>
      <c r="J24" s="1000">
        <f>SUM('17. sz.melléklet'!J24)</f>
        <v>0</v>
      </c>
      <c r="K24" s="1000">
        <f>SUM('17. sz.melléklet'!K24)</f>
        <v>0</v>
      </c>
      <c r="L24" s="1000">
        <f>SUM('17. sz.melléklet'!L24)</f>
        <v>0</v>
      </c>
      <c r="M24" s="1000">
        <f>SUM('17. sz.melléklet'!M24)</f>
        <v>0</v>
      </c>
      <c r="N24" s="1000">
        <f>SUM('17. sz.melléklet'!N24)</f>
        <v>0</v>
      </c>
      <c r="O24" s="179"/>
      <c r="P24" s="631"/>
      <c r="Q24" s="631"/>
    </row>
    <row r="25" spans="1:17" x14ac:dyDescent="0.2">
      <c r="A25" s="41" t="s">
        <v>44</v>
      </c>
      <c r="B25" s="999">
        <f>SUM('2.sz.melléklet'!K260+'2.sz.melléklet'!L260)</f>
        <v>80655707.555555582</v>
      </c>
      <c r="C25" s="1000"/>
      <c r="D25" s="1000">
        <f>SUM('17. sz.melléklet'!D25)</f>
        <v>0</v>
      </c>
      <c r="E25" s="1000">
        <f>SUM('17. sz.melléklet'!E25)</f>
        <v>26500000</v>
      </c>
      <c r="F25" s="1000">
        <f>SUM('17. sz.melléklet'!F25)</f>
        <v>0</v>
      </c>
      <c r="G25" s="1000">
        <f>SUM('17. sz.melléklet'!G25)</f>
        <v>0</v>
      </c>
      <c r="H25" s="1000">
        <f>SUM('17. sz.melléklet'!H25)</f>
        <v>19915794</v>
      </c>
      <c r="I25" s="1000">
        <f>SUM('17. sz.melléklet'!I25)</f>
        <v>0</v>
      </c>
      <c r="J25" s="1000">
        <f>SUM('17. sz.melléklet'!J25)</f>
        <v>0</v>
      </c>
      <c r="K25" s="1000">
        <f>SUM('17. sz.melléklet'!K25)</f>
        <v>40898459</v>
      </c>
      <c r="L25" s="1000">
        <f>SUM('17. sz.melléklet'!L25)</f>
        <v>8169400</v>
      </c>
      <c r="M25" s="1000">
        <f>SUM('17. sz.melléklet'!M25)</f>
        <v>0</v>
      </c>
      <c r="N25" s="1000">
        <f>SUM('17. sz.melléklet'!N25)</f>
        <v>0</v>
      </c>
      <c r="O25" s="179"/>
      <c r="P25" s="631"/>
      <c r="Q25" s="631"/>
    </row>
    <row r="26" spans="1:17" ht="13.5" thickBot="1" x14ac:dyDescent="0.25">
      <c r="A26" s="49" t="s">
        <v>124</v>
      </c>
      <c r="B26" s="1011">
        <f>SUM('2.sz.melléklet'!M260+'6. sz.melléklet'!M18)</f>
        <v>471317843</v>
      </c>
      <c r="C26" s="1012">
        <f>SUM('17. sz.melléklet'!C26)</f>
        <v>44025426.333333336</v>
      </c>
      <c r="D26" s="1012">
        <f>SUM('17. sz.melléklet'!D26)</f>
        <v>38426533.333333336</v>
      </c>
      <c r="E26" s="1012">
        <f>SUM('17. sz.melléklet'!E26)</f>
        <v>38826533.333333336</v>
      </c>
      <c r="F26" s="1012">
        <f>SUM('17. sz.melléklet'!F26)</f>
        <v>38426533.333333336</v>
      </c>
      <c r="G26" s="1012">
        <f>SUM('17. sz.melléklet'!G26)</f>
        <v>40427883.333333336</v>
      </c>
      <c r="H26" s="1012">
        <f>SUM('17. sz.melléklet'!H26)</f>
        <v>38826583.333333336</v>
      </c>
      <c r="I26" s="1012">
        <f>SUM('17. sz.melléklet'!I26)</f>
        <v>38627343.333333336</v>
      </c>
      <c r="J26" s="1012">
        <f>SUM('17. sz.melléklet'!J26)</f>
        <v>38826033.333333336</v>
      </c>
      <c r="K26" s="1012">
        <f>SUM('17. sz.melléklet'!K26)</f>
        <v>38426173.333333336</v>
      </c>
      <c r="L26" s="1012">
        <f>SUM('17. sz.melléklet'!L26)</f>
        <v>38826133.333333336</v>
      </c>
      <c r="M26" s="1012">
        <f>SUM('17. sz.melléklet'!M26)</f>
        <v>38826533.333333336</v>
      </c>
      <c r="N26" s="1012">
        <f>SUM('17. sz.melléklet'!N26)</f>
        <v>38826133.333333336</v>
      </c>
      <c r="O26" s="179"/>
      <c r="P26" s="631"/>
      <c r="Q26" s="631"/>
    </row>
    <row r="27" spans="1:17" ht="13.5" thickBot="1" x14ac:dyDescent="0.25">
      <c r="A27" s="47" t="s">
        <v>45</v>
      </c>
      <c r="B27" s="1013">
        <f t="shared" ref="B27:N27" si="1">SUM(B20:B26)</f>
        <v>2491294316.5555553</v>
      </c>
      <c r="C27" s="1014">
        <f t="shared" si="1"/>
        <v>120547088.83333334</v>
      </c>
      <c r="D27" s="1014">
        <f t="shared" si="1"/>
        <v>115907195.83333334</v>
      </c>
      <c r="E27" s="1014">
        <f t="shared" si="1"/>
        <v>149382651.83333334</v>
      </c>
      <c r="F27" s="1014">
        <f t="shared" si="1"/>
        <v>138115092.83333334</v>
      </c>
      <c r="G27" s="1014">
        <f t="shared" si="1"/>
        <v>161488698.83333334</v>
      </c>
      <c r="H27" s="1014">
        <f t="shared" si="1"/>
        <v>144207587.83333334</v>
      </c>
      <c r="I27" s="1014">
        <f t="shared" si="1"/>
        <v>305438186.83333337</v>
      </c>
      <c r="J27" s="1014">
        <f t="shared" si="1"/>
        <v>255548695.83333337</v>
      </c>
      <c r="K27" s="1014">
        <f t="shared" si="1"/>
        <v>669073127.83333337</v>
      </c>
      <c r="L27" s="1014">
        <f t="shared" si="1"/>
        <v>201067195.83333337</v>
      </c>
      <c r="M27" s="1014">
        <f t="shared" si="1"/>
        <v>115448195.83333334</v>
      </c>
      <c r="N27" s="1013">
        <f t="shared" si="1"/>
        <v>115419602.83333334</v>
      </c>
      <c r="O27" s="179"/>
      <c r="P27" s="631"/>
      <c r="Q27" s="631"/>
    </row>
    <row r="28" spans="1:17" ht="13.5" thickBot="1" x14ac:dyDescent="0.25">
      <c r="A28" s="48"/>
      <c r="B28" s="1015"/>
      <c r="C28" s="1016"/>
      <c r="D28" s="1016"/>
      <c r="E28" s="1016"/>
      <c r="F28" s="1016"/>
      <c r="G28" s="1016"/>
      <c r="H28" s="1016"/>
      <c r="I28" s="1016"/>
      <c r="J28" s="1016"/>
      <c r="K28" s="1016"/>
      <c r="L28" s="1016"/>
      <c r="M28" s="1016"/>
      <c r="N28" s="1015"/>
      <c r="O28" s="179"/>
      <c r="P28" s="631"/>
      <c r="Q28" s="631"/>
    </row>
    <row r="29" spans="1:17" ht="13.5" thickBot="1" x14ac:dyDescent="0.25">
      <c r="A29" s="47" t="s">
        <v>46</v>
      </c>
      <c r="B29" s="1017">
        <f>B27-B16</f>
        <v>0</v>
      </c>
      <c r="C29" s="1018">
        <f>C16-C27</f>
        <v>363161406.5</v>
      </c>
      <c r="D29" s="1018">
        <f t="shared" ref="D29:N29" si="2">D16-D27</f>
        <v>9705696.5</v>
      </c>
      <c r="E29" s="1018">
        <f t="shared" si="2"/>
        <v>162813990.49999997</v>
      </c>
      <c r="F29" s="1018">
        <f t="shared" si="2"/>
        <v>85278649.5</v>
      </c>
      <c r="G29" s="1018">
        <f t="shared" si="2"/>
        <v>50925543.5</v>
      </c>
      <c r="H29" s="1018">
        <f t="shared" si="2"/>
        <v>100700907.5</v>
      </c>
      <c r="I29" s="1018">
        <f t="shared" si="2"/>
        <v>-201504484.50000003</v>
      </c>
      <c r="J29" s="1018">
        <f t="shared" si="2"/>
        <v>-138236303.50000003</v>
      </c>
      <c r="K29" s="1018">
        <f t="shared" si="2"/>
        <v>-501219292.5</v>
      </c>
      <c r="L29" s="1018">
        <f t="shared" si="2"/>
        <v>-95538282.944444478</v>
      </c>
      <c r="M29" s="1018">
        <f t="shared" si="2"/>
        <v>71856790.5</v>
      </c>
      <c r="N29" s="1017">
        <f t="shared" si="2"/>
        <v>91706374.5</v>
      </c>
      <c r="O29" s="179"/>
      <c r="P29" s="631"/>
      <c r="Q29" s="631"/>
    </row>
    <row r="30" spans="1:17" x14ac:dyDescent="0.2">
      <c r="A30" s="132"/>
      <c r="B30" s="631"/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1"/>
      <c r="N30" s="1076"/>
      <c r="O30" s="179"/>
      <c r="P30" s="631"/>
      <c r="Q30" s="631"/>
    </row>
    <row r="31" spans="1:17" s="181" customFormat="1" x14ac:dyDescent="0.2">
      <c r="A31" s="180" t="s">
        <v>74</v>
      </c>
      <c r="B31" s="1020"/>
      <c r="C31" s="1020">
        <f>C16-C27</f>
        <v>363161406.5</v>
      </c>
      <c r="D31" s="1020">
        <f>C31+D16-D27</f>
        <v>372867103</v>
      </c>
      <c r="E31" s="1020">
        <f t="shared" ref="E31:N31" si="3">D31+E16-E27</f>
        <v>535681093.49999988</v>
      </c>
      <c r="F31" s="1020">
        <f t="shared" si="3"/>
        <v>620959742.99999988</v>
      </c>
      <c r="G31" s="1020">
        <f t="shared" si="3"/>
        <v>671885286.49999988</v>
      </c>
      <c r="H31" s="1020">
        <f t="shared" si="3"/>
        <v>772586193.99999988</v>
      </c>
      <c r="I31" s="1020">
        <f t="shared" si="3"/>
        <v>571081709.49999988</v>
      </c>
      <c r="J31" s="1020">
        <f t="shared" si="3"/>
        <v>432845405.99999988</v>
      </c>
      <c r="K31" s="1020">
        <f t="shared" si="3"/>
        <v>-68373886.500000119</v>
      </c>
      <c r="L31" s="1020">
        <f t="shared" si="3"/>
        <v>-163912169.4444446</v>
      </c>
      <c r="M31" s="1020">
        <f t="shared" si="3"/>
        <v>-92055378.944444597</v>
      </c>
      <c r="N31" s="1020">
        <f t="shared" si="3"/>
        <v>-349004.44444459677</v>
      </c>
      <c r="O31" s="179"/>
      <c r="P31" s="631"/>
      <c r="Q31" s="631"/>
    </row>
    <row r="32" spans="1:17" x14ac:dyDescent="0.2">
      <c r="A32" s="132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79"/>
      <c r="P32" s="631"/>
      <c r="Q32" s="631"/>
    </row>
  </sheetData>
  <mergeCells count="1">
    <mergeCell ref="A2:N2"/>
  </mergeCells>
  <phoneticPr fontId="3" type="noConversion"/>
  <pageMargins left="0.49" right="0.47" top="1" bottom="1" header="0.5" footer="0.5"/>
  <pageSetup paperSize="9" scale="86" orientation="landscape" r:id="rId1"/>
  <headerFooter alignWithMargins="0"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pageSetUpPr fitToPage="1"/>
  </sheetPr>
  <dimension ref="A1:G60"/>
  <sheetViews>
    <sheetView workbookViewId="0">
      <pane ySplit="1" topLeftCell="A28" activePane="bottomLeft" state="frozen"/>
      <selection pane="bottomLeft" activeCell="D60" sqref="D60:D62"/>
    </sheetView>
  </sheetViews>
  <sheetFormatPr defaultColWidth="9.140625" defaultRowHeight="12.75" x14ac:dyDescent="0.2"/>
  <cols>
    <col min="1" max="1" width="1.140625" customWidth="1"/>
    <col min="2" max="2" width="43.28515625" customWidth="1"/>
    <col min="3" max="3" width="34.5703125" customWidth="1"/>
    <col min="4" max="4" width="21.42578125" bestFit="1" customWidth="1"/>
    <col min="5" max="5" width="14.42578125" bestFit="1" customWidth="1"/>
    <col min="6" max="6" width="9.42578125" bestFit="1" customWidth="1"/>
    <col min="7" max="7" width="12.85546875" bestFit="1" customWidth="1"/>
  </cols>
  <sheetData>
    <row r="1" spans="1:7" ht="30" customHeight="1" thickBot="1" x14ac:dyDescent="0.3">
      <c r="A1" s="2040" t="s">
        <v>559</v>
      </c>
      <c r="B1" s="2041"/>
      <c r="C1" s="2041"/>
      <c r="D1" s="2041"/>
    </row>
    <row r="2" spans="1:7" ht="3" hidden="1" customHeight="1" thickBot="1" x14ac:dyDescent="0.25">
      <c r="A2" s="132"/>
      <c r="B2" s="1221"/>
      <c r="C2" s="1221"/>
      <c r="D2" s="1221"/>
    </row>
    <row r="3" spans="1:7" ht="13.5" thickBot="1" x14ac:dyDescent="0.25">
      <c r="A3" s="132"/>
      <c r="B3" s="1221"/>
      <c r="C3" s="1221"/>
      <c r="D3" s="1221"/>
    </row>
    <row r="4" spans="1:7" ht="26.25" thickBot="1" x14ac:dyDescent="0.25">
      <c r="A4" s="132"/>
      <c r="B4" s="1221"/>
      <c r="C4" s="1227" t="s">
        <v>353</v>
      </c>
      <c r="D4" s="1228" t="s">
        <v>350</v>
      </c>
    </row>
    <row r="5" spans="1:7" ht="13.5" thickBot="1" x14ac:dyDescent="0.25">
      <c r="A5" s="644" t="s">
        <v>292</v>
      </c>
      <c r="B5" s="1222"/>
      <c r="C5" s="1222">
        <f>SUM('5.a.sz. melléklet'!C70)</f>
        <v>90217000</v>
      </c>
      <c r="D5" s="1222">
        <f>SUM('5.a.sz. melléklet'!C71)</f>
        <v>90217000</v>
      </c>
    </row>
    <row r="6" spans="1:7" ht="13.5" customHeight="1" thickBot="1" x14ac:dyDescent="0.25">
      <c r="A6" s="152"/>
      <c r="B6" s="646"/>
      <c r="C6" s="646"/>
      <c r="D6" s="646"/>
    </row>
    <row r="7" spans="1:7" x14ac:dyDescent="0.2">
      <c r="A7" s="1220" t="s">
        <v>179</v>
      </c>
      <c r="B7" s="1222"/>
      <c r="C7" s="1222">
        <f>SUM(C8:C12)</f>
        <v>682291000</v>
      </c>
      <c r="D7" s="1222">
        <f>SUM(D8:D12)</f>
        <v>657291000</v>
      </c>
      <c r="E7" s="51"/>
      <c r="F7" s="51"/>
      <c r="G7" s="51"/>
    </row>
    <row r="8" spans="1:7" x14ac:dyDescent="0.2">
      <c r="A8" s="645"/>
      <c r="B8" s="1152" t="s">
        <v>290</v>
      </c>
      <c r="C8" s="192">
        <v>25000000</v>
      </c>
      <c r="D8" s="192">
        <v>0</v>
      </c>
      <c r="E8" s="51"/>
      <c r="F8" s="51"/>
      <c r="G8" s="51"/>
    </row>
    <row r="9" spans="1:7" x14ac:dyDescent="0.2">
      <c r="A9" s="152"/>
      <c r="B9" s="646" t="s">
        <v>99</v>
      </c>
      <c r="C9" s="646">
        <v>650000000</v>
      </c>
      <c r="D9" s="646">
        <v>650000000</v>
      </c>
      <c r="E9" s="51"/>
      <c r="F9" s="51"/>
      <c r="G9" s="51"/>
    </row>
    <row r="10" spans="1:7" x14ac:dyDescent="0.2">
      <c r="A10" s="152"/>
      <c r="B10" s="646" t="s">
        <v>132</v>
      </c>
      <c r="C10" s="646">
        <v>391000</v>
      </c>
      <c r="D10" s="646">
        <v>391000</v>
      </c>
      <c r="E10" s="51"/>
      <c r="F10" s="51"/>
      <c r="G10" s="51"/>
    </row>
    <row r="11" spans="1:7" x14ac:dyDescent="0.2">
      <c r="A11" s="152"/>
      <c r="B11" s="646" t="s">
        <v>291</v>
      </c>
      <c r="C11" s="646">
        <v>400000</v>
      </c>
      <c r="D11" s="646">
        <v>400000</v>
      </c>
      <c r="E11" s="51"/>
      <c r="F11" s="51"/>
      <c r="G11" s="51"/>
    </row>
    <row r="12" spans="1:7" ht="13.5" thickBot="1" x14ac:dyDescent="0.25">
      <c r="A12" s="223"/>
      <c r="B12" s="646" t="s">
        <v>382</v>
      </c>
      <c r="C12" s="646">
        <f>SUM('5.a.sz. melléklet'!D22)</f>
        <v>6500000</v>
      </c>
      <c r="D12" s="646">
        <v>6500000</v>
      </c>
      <c r="E12" s="51">
        <f>SUM('5.a.sz. melléklet'!D70)</f>
        <v>682291000</v>
      </c>
      <c r="F12" s="51"/>
      <c r="G12" s="51"/>
    </row>
    <row r="13" spans="1:7" ht="6" customHeight="1" thickBot="1" x14ac:dyDescent="0.25">
      <c r="A13" s="152"/>
      <c r="B13" s="646"/>
      <c r="C13" s="646"/>
      <c r="D13" s="1153"/>
      <c r="E13" s="51"/>
      <c r="F13" s="51"/>
      <c r="G13" s="51"/>
    </row>
    <row r="14" spans="1:7" x14ac:dyDescent="0.2">
      <c r="A14" s="647" t="s">
        <v>206</v>
      </c>
      <c r="B14" s="646"/>
      <c r="C14" s="1222">
        <f>SUM(C15:C21)</f>
        <v>134971058</v>
      </c>
      <c r="D14" s="1222">
        <f>SUM(D15:D21)</f>
        <v>136755752</v>
      </c>
      <c r="E14" s="51"/>
      <c r="F14" s="51"/>
      <c r="G14" s="51"/>
    </row>
    <row r="15" spans="1:7" x14ac:dyDescent="0.2">
      <c r="A15" s="152"/>
      <c r="B15" s="646" t="s">
        <v>205</v>
      </c>
      <c r="C15" s="646">
        <f>SUM('5.b.sz. melléklet'!D14)</f>
        <v>0</v>
      </c>
      <c r="D15" s="646">
        <f>SUM('5.b.sz. melléklet'!E14)</f>
        <v>0</v>
      </c>
      <c r="E15" s="51"/>
      <c r="F15" s="51"/>
      <c r="G15" s="51"/>
    </row>
    <row r="16" spans="1:7" x14ac:dyDescent="0.2">
      <c r="A16" s="152"/>
      <c r="B16" s="646" t="s">
        <v>207</v>
      </c>
      <c r="C16" s="646">
        <f>SUM('5.b.sz. melléklet'!D15+'5.b.sz. melléklet'!D16+'5.b.sz. melléklet'!D19+'5.b.sz. melléklet'!D23)</f>
        <v>105963430</v>
      </c>
      <c r="D16" s="646">
        <f>SUM('5.b.sz. melléklet'!E15+'5.b.sz. melléklet'!E16+'5.b.sz. melléklet'!E19+'5.b.sz. melléklet'!E23)</f>
        <v>105963430</v>
      </c>
      <c r="E16" s="51"/>
      <c r="F16" s="51"/>
      <c r="G16" s="51"/>
    </row>
    <row r="17" spans="1:7" x14ac:dyDescent="0.2">
      <c r="A17" s="152"/>
      <c r="B17" s="646" t="s">
        <v>208</v>
      </c>
      <c r="C17" s="646">
        <f>SUM('5.b.sz. melléklet'!D17+'5.b.sz. melléklet'!D18)</f>
        <v>22298515</v>
      </c>
      <c r="D17" s="646">
        <f>SUM('5.b.sz. melléklet'!E17+'5.b.sz. melléklet'!E22+'5.b.sz. melléklet'!E18)</f>
        <v>22440306</v>
      </c>
      <c r="E17" s="51"/>
      <c r="F17" s="51"/>
      <c r="G17" s="51"/>
    </row>
    <row r="18" spans="1:7" x14ac:dyDescent="0.2">
      <c r="A18" s="152"/>
      <c r="B18" s="646" t="s">
        <v>209</v>
      </c>
      <c r="C18" s="646">
        <f>SUM('5.b.sz. melléklet'!D20)</f>
        <v>6709113</v>
      </c>
      <c r="D18" s="646">
        <f>SUM('5.b.sz. melléklet'!E20+'5.b.sz. melléklet'!E21)</f>
        <v>8352016</v>
      </c>
      <c r="E18" s="51"/>
      <c r="F18" s="51"/>
      <c r="G18" s="51"/>
    </row>
    <row r="19" spans="1:7" x14ac:dyDescent="0.2">
      <c r="A19" s="152"/>
      <c r="B19" s="646" t="s">
        <v>518</v>
      </c>
      <c r="C19" s="646"/>
      <c r="D19" s="646">
        <f>SUM('5.b.sz. melléklet'!E26)</f>
        <v>0</v>
      </c>
      <c r="E19" s="51"/>
      <c r="F19" s="51"/>
      <c r="G19" s="51"/>
    </row>
    <row r="20" spans="1:7" x14ac:dyDescent="0.2">
      <c r="A20" s="152"/>
      <c r="B20" s="646" t="s">
        <v>371</v>
      </c>
      <c r="C20" s="646">
        <v>0</v>
      </c>
      <c r="D20" s="646">
        <v>0</v>
      </c>
      <c r="E20" s="51"/>
      <c r="F20" s="51"/>
      <c r="G20" s="51"/>
    </row>
    <row r="21" spans="1:7" x14ac:dyDescent="0.2">
      <c r="A21" s="152"/>
      <c r="B21" s="646" t="s">
        <v>372</v>
      </c>
      <c r="C21" s="646">
        <v>0</v>
      </c>
      <c r="D21" s="646">
        <v>0</v>
      </c>
      <c r="E21" s="51">
        <f>SUM(C15:C21)</f>
        <v>134971058</v>
      </c>
      <c r="F21" s="51"/>
      <c r="G21" s="51"/>
    </row>
    <row r="22" spans="1:7" ht="6.75" customHeight="1" thickBot="1" x14ac:dyDescent="0.25">
      <c r="A22" s="152"/>
      <c r="B22" s="646"/>
      <c r="C22" s="646"/>
      <c r="D22" s="646"/>
      <c r="E22" s="51"/>
      <c r="F22" s="51"/>
      <c r="G22" s="51"/>
    </row>
    <row r="23" spans="1:7" x14ac:dyDescent="0.2">
      <c r="A23" s="647" t="s">
        <v>102</v>
      </c>
      <c r="B23" s="646"/>
      <c r="C23" s="1222">
        <f>SUM(C24:C35)</f>
        <v>219414258.55555555</v>
      </c>
      <c r="D23" s="1222">
        <f>SUM(D24:D36)</f>
        <v>219414258.55555555</v>
      </c>
      <c r="E23" s="51"/>
      <c r="F23" s="51"/>
      <c r="G23" s="51"/>
    </row>
    <row r="24" spans="1:7" x14ac:dyDescent="0.2">
      <c r="A24" s="648"/>
      <c r="B24" s="646" t="s">
        <v>160</v>
      </c>
      <c r="C24" s="646">
        <f>SUM('5.a.sz. melléklet'!F43)+'5.a.sz. melléklet'!F46</f>
        <v>13116000</v>
      </c>
      <c r="D24" s="646">
        <v>13116000</v>
      </c>
      <c r="E24" s="51"/>
      <c r="F24" s="51"/>
      <c r="G24" s="51"/>
    </row>
    <row r="25" spans="1:7" x14ac:dyDescent="0.2">
      <c r="A25" s="648"/>
      <c r="B25" s="646" t="s">
        <v>103</v>
      </c>
      <c r="C25" s="646">
        <v>4320000</v>
      </c>
      <c r="D25" s="646">
        <v>4320000</v>
      </c>
      <c r="E25" s="51"/>
      <c r="F25" s="51"/>
      <c r="G25" s="51"/>
    </row>
    <row r="26" spans="1:7" x14ac:dyDescent="0.2">
      <c r="A26" s="648"/>
      <c r="B26" s="646" t="s">
        <v>188</v>
      </c>
      <c r="C26" s="646">
        <f>SUM('5.a.sz. melléklet'!F22-4320000)</f>
        <v>3000000</v>
      </c>
      <c r="D26" s="646">
        <v>3000000</v>
      </c>
      <c r="E26" s="51"/>
      <c r="F26" s="51"/>
      <c r="G26" s="51"/>
    </row>
    <row r="27" spans="1:7" ht="17.25" customHeight="1" x14ac:dyDescent="0.2">
      <c r="A27" s="152"/>
      <c r="B27" s="650" t="s">
        <v>438</v>
      </c>
      <c r="C27" s="646">
        <v>3600000</v>
      </c>
      <c r="D27" s="646">
        <v>3600000</v>
      </c>
      <c r="E27" s="51"/>
      <c r="F27" s="51"/>
      <c r="G27" s="51"/>
    </row>
    <row r="28" spans="1:7" ht="13.5" customHeight="1" x14ac:dyDescent="0.2">
      <c r="A28" s="152"/>
      <c r="B28" s="650" t="s">
        <v>263</v>
      </c>
      <c r="C28" s="646">
        <f>SUM('5.a.sz. melléklet'!F61)</f>
        <v>0</v>
      </c>
      <c r="D28" s="646">
        <f>SUM('5.a.sz. melléklet'!G61)</f>
        <v>0</v>
      </c>
      <c r="E28" s="51"/>
      <c r="F28" s="51"/>
      <c r="G28" s="51"/>
    </row>
    <row r="29" spans="1:7" ht="24.75" customHeight="1" x14ac:dyDescent="0.2">
      <c r="A29" s="152"/>
      <c r="B29" s="1223" t="s">
        <v>479</v>
      </c>
      <c r="C29" s="646">
        <v>98885297</v>
      </c>
      <c r="D29" s="646">
        <v>98885297</v>
      </c>
      <c r="E29" s="51"/>
      <c r="F29" s="51"/>
      <c r="G29" s="51"/>
    </row>
    <row r="30" spans="1:7" s="1123" customFormat="1" ht="24.75" customHeight="1" x14ac:dyDescent="0.2">
      <c r="A30" s="152"/>
      <c r="B30" s="1223" t="s">
        <v>631</v>
      </c>
      <c r="C30" s="646">
        <v>12700000</v>
      </c>
      <c r="D30" s="646">
        <v>12700000</v>
      </c>
      <c r="E30" s="51"/>
      <c r="F30" s="51"/>
      <c r="G30" s="51"/>
    </row>
    <row r="31" spans="1:7" s="1113" customFormat="1" ht="24.75" customHeight="1" x14ac:dyDescent="0.2">
      <c r="A31" s="152"/>
      <c r="B31" s="1223" t="s">
        <v>644</v>
      </c>
      <c r="C31" s="646">
        <v>44405560</v>
      </c>
      <c r="D31" s="646">
        <v>44405560</v>
      </c>
      <c r="E31" s="51"/>
      <c r="F31" s="51"/>
      <c r="G31" s="51"/>
    </row>
    <row r="32" spans="1:7" s="1093" customFormat="1" ht="24.75" customHeight="1" x14ac:dyDescent="0.2">
      <c r="A32" s="152"/>
      <c r="B32" s="1224" t="s">
        <v>555</v>
      </c>
      <c r="C32" s="1225">
        <v>8000000</v>
      </c>
      <c r="D32" s="1225">
        <v>8000000</v>
      </c>
      <c r="E32" s="51"/>
      <c r="F32" s="51"/>
      <c r="G32" s="51"/>
    </row>
    <row r="33" spans="1:7" s="1123" customFormat="1" ht="24.75" customHeight="1" x14ac:dyDescent="0.2">
      <c r="A33" s="152"/>
      <c r="B33" s="1224" t="s">
        <v>643</v>
      </c>
      <c r="C33" s="1225">
        <v>14999991</v>
      </c>
      <c r="D33" s="1225">
        <v>14999991</v>
      </c>
      <c r="E33" s="51"/>
      <c r="F33" s="51"/>
      <c r="G33" s="51"/>
    </row>
    <row r="34" spans="1:7" s="1093" customFormat="1" ht="24.75" customHeight="1" x14ac:dyDescent="0.2">
      <c r="A34" s="152"/>
      <c r="B34" s="1224" t="s">
        <v>627</v>
      </c>
      <c r="C34" s="1225">
        <v>14990990</v>
      </c>
      <c r="D34" s="1225">
        <v>14990990</v>
      </c>
      <c r="E34" s="51"/>
      <c r="F34" s="51"/>
      <c r="G34" s="51"/>
    </row>
    <row r="35" spans="1:7" ht="27" customHeight="1" thickBot="1" x14ac:dyDescent="0.25">
      <c r="A35" s="152"/>
      <c r="B35" s="650" t="s">
        <v>556</v>
      </c>
      <c r="C35" s="646">
        <f>12567785/9</f>
        <v>1396420.5555555555</v>
      </c>
      <c r="D35" s="646">
        <f>12567785/9</f>
        <v>1396420.5555555555</v>
      </c>
      <c r="E35" s="51"/>
      <c r="F35" s="51"/>
      <c r="G35" s="51"/>
    </row>
    <row r="36" spans="1:7" ht="13.5" thickBot="1" x14ac:dyDescent="0.25">
      <c r="A36" s="649" t="s">
        <v>97</v>
      </c>
      <c r="B36" s="646"/>
      <c r="C36" s="646"/>
      <c r="D36" s="646"/>
      <c r="E36" s="51"/>
      <c r="F36" s="51"/>
      <c r="G36" s="51"/>
    </row>
    <row r="37" spans="1:7" ht="13.5" thickBot="1" x14ac:dyDescent="0.25">
      <c r="A37" s="152"/>
      <c r="B37" s="646"/>
      <c r="C37" s="646"/>
      <c r="D37" s="646"/>
      <c r="E37" s="51"/>
      <c r="F37" s="51"/>
      <c r="G37" s="51"/>
    </row>
    <row r="38" spans="1:7" x14ac:dyDescent="0.2">
      <c r="A38" s="647" t="s">
        <v>98</v>
      </c>
      <c r="B38" s="646"/>
      <c r="C38" s="1222">
        <f>SUM(C39:C40)</f>
        <v>0</v>
      </c>
      <c r="D38" s="646"/>
      <c r="E38" s="51"/>
      <c r="F38" s="51"/>
      <c r="G38" s="51"/>
    </row>
    <row r="39" spans="1:7" x14ac:dyDescent="0.2">
      <c r="A39" s="648"/>
      <c r="B39" s="650"/>
      <c r="C39" s="646"/>
      <c r="D39" s="646"/>
      <c r="E39" s="51"/>
      <c r="F39" s="51"/>
      <c r="G39" s="51"/>
    </row>
    <row r="40" spans="1:7" ht="3" customHeight="1" x14ac:dyDescent="0.2">
      <c r="A40" s="648"/>
      <c r="B40" s="650"/>
      <c r="C40" s="646"/>
      <c r="D40" s="646">
        <v>5600</v>
      </c>
      <c r="E40" s="51"/>
      <c r="F40" s="51"/>
      <c r="G40" s="51"/>
    </row>
    <row r="41" spans="1:7" ht="3" customHeight="1" x14ac:dyDescent="0.2">
      <c r="A41" s="648"/>
      <c r="B41" s="650"/>
      <c r="C41" s="646"/>
      <c r="D41" s="646"/>
      <c r="E41" s="51"/>
      <c r="F41" s="51"/>
      <c r="G41" s="51"/>
    </row>
    <row r="42" spans="1:7" ht="13.5" hidden="1" customHeight="1" x14ac:dyDescent="0.2">
      <c r="A42" s="651"/>
      <c r="B42" s="650"/>
      <c r="C42" s="646"/>
      <c r="D42" s="646"/>
      <c r="E42" s="51"/>
      <c r="F42" s="51"/>
      <c r="G42" s="51"/>
    </row>
    <row r="43" spans="1:7" ht="1.5" customHeight="1" thickBot="1" x14ac:dyDescent="0.25">
      <c r="A43" s="152"/>
      <c r="B43" s="646"/>
      <c r="C43" s="646"/>
      <c r="D43" s="646"/>
      <c r="E43" s="51"/>
      <c r="F43" s="51"/>
      <c r="G43" s="51"/>
    </row>
    <row r="44" spans="1:7" x14ac:dyDescent="0.2">
      <c r="A44" s="647" t="s">
        <v>100</v>
      </c>
      <c r="B44" s="646"/>
      <c r="C44" s="1222">
        <f>SUM(C45:C49)</f>
        <v>196528000</v>
      </c>
      <c r="D44" s="1222">
        <f>SUM(D45:D48)</f>
        <v>196528000</v>
      </c>
      <c r="E44" s="51"/>
      <c r="F44" s="51"/>
      <c r="G44" s="51"/>
    </row>
    <row r="45" spans="1:7" x14ac:dyDescent="0.2">
      <c r="A45" s="648"/>
      <c r="B45" s="650" t="s">
        <v>522</v>
      </c>
      <c r="C45" s="646">
        <f>40*4500000</f>
        <v>180000000</v>
      </c>
      <c r="D45" s="646">
        <f>40*4500000</f>
        <v>180000000</v>
      </c>
      <c r="E45" s="51"/>
      <c r="F45" s="51"/>
      <c r="G45" s="51"/>
    </row>
    <row r="46" spans="1:7" x14ac:dyDescent="0.2">
      <c r="A46" s="648"/>
      <c r="B46" s="650" t="s">
        <v>533</v>
      </c>
      <c r="C46" s="646">
        <v>1728000</v>
      </c>
      <c r="D46" s="646">
        <v>1728000</v>
      </c>
      <c r="E46" s="51"/>
      <c r="F46" s="51"/>
      <c r="G46" s="51"/>
    </row>
    <row r="47" spans="1:7" ht="22.5" customHeight="1" x14ac:dyDescent="0.2">
      <c r="A47" s="648"/>
      <c r="B47" s="650" t="s">
        <v>493</v>
      </c>
      <c r="C47" s="646">
        <v>4800000</v>
      </c>
      <c r="D47" s="646">
        <v>4800000</v>
      </c>
      <c r="E47" s="51"/>
      <c r="F47" s="51"/>
      <c r="G47" s="51"/>
    </row>
    <row r="48" spans="1:7" ht="22.5" customHeight="1" x14ac:dyDescent="0.2">
      <c r="A48" s="648"/>
      <c r="B48" s="650" t="s">
        <v>480</v>
      </c>
      <c r="C48" s="646">
        <v>10000000</v>
      </c>
      <c r="D48" s="646">
        <v>10000000</v>
      </c>
      <c r="E48" s="51"/>
      <c r="F48" s="51"/>
      <c r="G48" s="51"/>
    </row>
    <row r="49" spans="1:7" ht="6" customHeight="1" x14ac:dyDescent="0.2">
      <c r="A49" s="648"/>
      <c r="B49" s="650"/>
      <c r="C49" s="646"/>
      <c r="D49" s="646"/>
      <c r="E49" s="51"/>
      <c r="F49" s="51"/>
      <c r="G49" s="51"/>
    </row>
    <row r="50" spans="1:7" x14ac:dyDescent="0.2">
      <c r="A50" s="648" t="s">
        <v>296</v>
      </c>
      <c r="B50" s="650"/>
      <c r="C50" s="1222">
        <f>SUM(C51:C53)</f>
        <v>679000000</v>
      </c>
      <c r="D50" s="1222">
        <f>SUM(D51:D54)</f>
        <v>772178204</v>
      </c>
      <c r="E50" s="51"/>
      <c r="F50" s="51"/>
      <c r="G50" s="51"/>
    </row>
    <row r="51" spans="1:7" x14ac:dyDescent="0.2">
      <c r="A51" s="648"/>
      <c r="B51" s="650" t="s">
        <v>494</v>
      </c>
      <c r="C51" s="646">
        <f>SUM('5.a.sz. melléklet'!K67)</f>
        <v>300000000</v>
      </c>
      <c r="D51" s="646">
        <f>SUM('5.a.sz. melléklet'!K68)</f>
        <v>365995335</v>
      </c>
      <c r="E51" s="51"/>
      <c r="F51" s="51"/>
      <c r="G51" s="51"/>
    </row>
    <row r="52" spans="1:7" x14ac:dyDescent="0.2">
      <c r="A52" s="648"/>
      <c r="B52" s="650" t="s">
        <v>383</v>
      </c>
      <c r="C52" s="646">
        <v>379000000</v>
      </c>
      <c r="D52" s="646">
        <f>SUM('5.a.sz. melléklet'!J17)</f>
        <v>379000000</v>
      </c>
      <c r="E52" s="51"/>
      <c r="F52" s="51"/>
      <c r="G52" s="51"/>
    </row>
    <row r="53" spans="1:7" x14ac:dyDescent="0.2">
      <c r="A53" s="648"/>
      <c r="B53" s="650" t="s">
        <v>389</v>
      </c>
      <c r="C53" s="646"/>
      <c r="D53" s="646">
        <f>SUM('5.a.sz. melléklet'!K8)</f>
        <v>0</v>
      </c>
      <c r="E53" s="51"/>
      <c r="F53" s="51"/>
      <c r="G53" s="51"/>
    </row>
    <row r="54" spans="1:7" ht="13.5" thickBot="1" x14ac:dyDescent="0.25">
      <c r="A54" s="152"/>
      <c r="B54" s="646" t="s">
        <v>648</v>
      </c>
      <c r="C54" s="646"/>
      <c r="D54" s="646">
        <v>27182869</v>
      </c>
      <c r="E54" s="51"/>
      <c r="F54" s="51"/>
      <c r="G54" s="51"/>
    </row>
    <row r="55" spans="1:7" ht="16.5" thickBot="1" x14ac:dyDescent="0.3">
      <c r="A55" s="652" t="s">
        <v>101</v>
      </c>
      <c r="B55" s="1226"/>
      <c r="C55" s="1226">
        <f>SUM(C50+C44+C38+C23+C14+C7+C5)</f>
        <v>2002421316.5555556</v>
      </c>
      <c r="D55" s="1226">
        <f>SUM(D50+D44+D23+D14+D7+D5)</f>
        <v>2072384214.5555556</v>
      </c>
      <c r="E55" s="51"/>
      <c r="F55" s="51"/>
      <c r="G55" s="51"/>
    </row>
    <row r="56" spans="1:7" ht="19.5" customHeight="1" x14ac:dyDescent="0.2">
      <c r="A56" s="1123"/>
      <c r="B56" s="1151"/>
      <c r="C56" s="51"/>
      <c r="D56" s="51"/>
      <c r="E56" s="51"/>
      <c r="F56" s="51"/>
      <c r="G56" s="51"/>
    </row>
    <row r="57" spans="1:7" x14ac:dyDescent="0.2">
      <c r="A57" s="1123"/>
      <c r="B57" s="1151"/>
      <c r="C57" s="51"/>
      <c r="D57" s="51"/>
      <c r="E57" s="51"/>
      <c r="F57" s="51"/>
      <c r="G57" s="51"/>
    </row>
    <row r="58" spans="1:7" x14ac:dyDescent="0.2">
      <c r="A58" s="1123"/>
      <c r="B58" s="1151"/>
      <c r="C58" s="51"/>
      <c r="D58" s="51"/>
      <c r="E58" s="51"/>
      <c r="F58" s="51"/>
      <c r="G58" s="51"/>
    </row>
    <row r="59" spans="1:7" x14ac:dyDescent="0.2">
      <c r="A59" s="1123"/>
      <c r="B59" s="1151"/>
      <c r="C59" s="51"/>
      <c r="D59" s="51"/>
      <c r="E59" s="51"/>
      <c r="F59" s="51"/>
      <c r="G59" s="51"/>
    </row>
    <row r="60" spans="1:7" x14ac:dyDescent="0.2">
      <c r="A60" s="1123"/>
      <c r="B60" s="1151"/>
      <c r="C60" s="51"/>
      <c r="D60" s="51"/>
      <c r="E60" s="51"/>
      <c r="F60" s="51"/>
      <c r="G60" s="51"/>
    </row>
  </sheetData>
  <mergeCells count="1">
    <mergeCell ref="A1:D1"/>
  </mergeCells>
  <phoneticPr fontId="3" type="noConversion"/>
  <pageMargins left="0.75" right="0.75" top="1" bottom="1" header="0.5" footer="0.5"/>
  <pageSetup paperSize="9" scale="91" orientation="portrait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31">
    <pageSetUpPr fitToPage="1"/>
  </sheetPr>
  <dimension ref="A1:BA131"/>
  <sheetViews>
    <sheetView topLeftCell="A50" zoomScaleNormal="100" workbookViewId="0">
      <selection sqref="A1:L71"/>
    </sheetView>
  </sheetViews>
  <sheetFormatPr defaultColWidth="9.140625" defaultRowHeight="12.75" x14ac:dyDescent="0.2"/>
  <cols>
    <col min="1" max="1" width="8.140625" style="707" customWidth="1"/>
    <col min="2" max="2" width="21" style="654" customWidth="1"/>
    <col min="3" max="3" width="14.140625" style="654" bestFit="1" customWidth="1"/>
    <col min="4" max="5" width="15.28515625" style="654" bestFit="1" customWidth="1"/>
    <col min="6" max="6" width="14.140625" style="654" bestFit="1" customWidth="1"/>
    <col min="7" max="7" width="15.28515625" style="654" bestFit="1" customWidth="1"/>
    <col min="8" max="8" width="11" style="654" customWidth="1"/>
    <col min="9" max="9" width="14.7109375" style="654" customWidth="1"/>
    <col min="10" max="10" width="14.85546875" style="654" customWidth="1"/>
    <col min="11" max="11" width="15.28515625" style="654" bestFit="1" customWidth="1"/>
    <col min="12" max="12" width="17" style="654" customWidth="1"/>
    <col min="13" max="13" width="5.42578125" style="653" customWidth="1"/>
    <col min="14" max="14" width="14.42578125" style="654" bestFit="1" customWidth="1"/>
    <col min="15" max="16384" width="9.140625" style="654"/>
  </cols>
  <sheetData>
    <row r="1" spans="1:53" ht="16.5" thickBot="1" x14ac:dyDescent="0.3">
      <c r="A1" s="2042" t="s">
        <v>564</v>
      </c>
      <c r="B1" s="2043"/>
      <c r="C1" s="2043"/>
      <c r="D1" s="2043"/>
      <c r="E1" s="2043"/>
      <c r="F1" s="2043"/>
      <c r="G1" s="2043"/>
      <c r="H1" s="2043"/>
      <c r="I1" s="2043"/>
      <c r="J1" s="2043"/>
      <c r="K1" s="2043"/>
      <c r="L1" s="2044"/>
    </row>
    <row r="2" spans="1:53" ht="3" customHeight="1" x14ac:dyDescent="0.25">
      <c r="A2" s="655"/>
      <c r="B2" s="656"/>
    </row>
    <row r="3" spans="1:53" ht="3" customHeight="1" x14ac:dyDescent="0.2">
      <c r="A3" s="657"/>
    </row>
    <row r="4" spans="1:53" ht="3" customHeight="1" thickBot="1" x14ac:dyDescent="0.25">
      <c r="A4" s="658"/>
      <c r="B4" s="659"/>
    </row>
    <row r="5" spans="1:53" ht="57.75" customHeight="1" thickBot="1" x14ac:dyDescent="0.25">
      <c r="A5" s="660" t="s">
        <v>210</v>
      </c>
      <c r="B5" s="661" t="s">
        <v>211</v>
      </c>
      <c r="C5" s="662" t="s">
        <v>212</v>
      </c>
      <c r="D5" s="662" t="s">
        <v>213</v>
      </c>
      <c r="E5" s="662" t="s">
        <v>129</v>
      </c>
      <c r="F5" s="662" t="s">
        <v>215</v>
      </c>
      <c r="G5" s="662" t="s">
        <v>216</v>
      </c>
      <c r="H5" s="662" t="s">
        <v>130</v>
      </c>
      <c r="I5" s="662" t="s">
        <v>214</v>
      </c>
      <c r="J5" s="662" t="s">
        <v>379</v>
      </c>
      <c r="K5" s="663" t="s">
        <v>131</v>
      </c>
      <c r="L5" s="664" t="s">
        <v>53</v>
      </c>
    </row>
    <row r="6" spans="1:53" ht="15" customHeight="1" x14ac:dyDescent="0.2">
      <c r="A6" s="665" t="s">
        <v>225</v>
      </c>
      <c r="B6" s="666" t="s">
        <v>2</v>
      </c>
      <c r="C6" s="667"/>
      <c r="D6" s="667"/>
      <c r="E6" s="667"/>
      <c r="F6" s="667"/>
      <c r="G6" s="667"/>
      <c r="H6" s="667"/>
      <c r="I6" s="667"/>
      <c r="J6" s="667"/>
      <c r="K6" s="668"/>
      <c r="L6" s="669"/>
    </row>
    <row r="7" spans="1:53" ht="15" customHeight="1" x14ac:dyDescent="0.2">
      <c r="A7" s="1229"/>
      <c r="B7" s="1230" t="s">
        <v>349</v>
      </c>
      <c r="C7" s="1231">
        <v>4895000</v>
      </c>
      <c r="D7" s="1231"/>
      <c r="E7" s="1231"/>
      <c r="F7" s="1231"/>
      <c r="G7" s="1231"/>
      <c r="H7" s="1231"/>
      <c r="I7" s="1231"/>
      <c r="J7" s="1231"/>
      <c r="K7" s="1232"/>
      <c r="L7" s="1233">
        <f>SUM(C7:K7)</f>
        <v>4895000</v>
      </c>
    </row>
    <row r="8" spans="1:53" s="672" customFormat="1" ht="13.5" thickBot="1" x14ac:dyDescent="0.25">
      <c r="A8" s="1497"/>
      <c r="B8" s="1498" t="s">
        <v>350</v>
      </c>
      <c r="C8" s="1499">
        <f>SUM(C7)</f>
        <v>4895000</v>
      </c>
      <c r="D8" s="1499"/>
      <c r="E8" s="1499"/>
      <c r="F8" s="1499"/>
      <c r="G8" s="1499"/>
      <c r="H8" s="1499"/>
      <c r="I8" s="1499"/>
      <c r="J8" s="1499"/>
      <c r="K8" s="1500"/>
      <c r="L8" s="1501">
        <f>SUM(C8:K8)</f>
        <v>4895000</v>
      </c>
      <c r="M8" s="653"/>
      <c r="N8" s="654"/>
      <c r="O8" s="654"/>
      <c r="P8" s="654"/>
      <c r="Q8" s="654"/>
      <c r="R8" s="654"/>
      <c r="S8" s="654"/>
      <c r="T8" s="654"/>
      <c r="U8" s="654"/>
      <c r="V8" s="654"/>
      <c r="W8" s="654"/>
      <c r="X8" s="654"/>
      <c r="Y8" s="654"/>
      <c r="Z8" s="654"/>
      <c r="AA8" s="654"/>
      <c r="AB8" s="654"/>
      <c r="AC8" s="654"/>
      <c r="AD8" s="654"/>
      <c r="AE8" s="654"/>
      <c r="AF8" s="654"/>
      <c r="AG8" s="654"/>
      <c r="AH8" s="654"/>
      <c r="AI8" s="654"/>
      <c r="AJ8" s="654"/>
      <c r="AK8" s="654"/>
      <c r="AL8" s="654"/>
      <c r="AM8" s="654"/>
      <c r="AN8" s="654"/>
      <c r="AO8" s="654"/>
      <c r="AP8" s="654"/>
      <c r="AQ8" s="654"/>
      <c r="AR8" s="654"/>
      <c r="AS8" s="654"/>
      <c r="AT8" s="654"/>
      <c r="AU8" s="654"/>
      <c r="AV8" s="654"/>
      <c r="AW8" s="654"/>
      <c r="AX8" s="654"/>
      <c r="AY8" s="654"/>
      <c r="AZ8" s="654"/>
      <c r="BA8" s="654"/>
    </row>
    <row r="9" spans="1:53" ht="22.5" customHeight="1" x14ac:dyDescent="0.2">
      <c r="A9" s="673" t="s">
        <v>235</v>
      </c>
      <c r="B9" s="674" t="s">
        <v>478</v>
      </c>
      <c r="C9" s="667"/>
      <c r="D9" s="667"/>
      <c r="E9" s="667"/>
      <c r="F9" s="667"/>
      <c r="G9" s="667"/>
      <c r="H9" s="667"/>
      <c r="I9" s="667"/>
      <c r="J9" s="667"/>
      <c r="K9" s="668"/>
      <c r="L9" s="1236"/>
    </row>
    <row r="10" spans="1:53" ht="15" customHeight="1" x14ac:dyDescent="0.2">
      <c r="A10" s="1237"/>
      <c r="B10" s="1238" t="s">
        <v>349</v>
      </c>
      <c r="C10" s="1231">
        <v>52068000</v>
      </c>
      <c r="D10" s="1231"/>
      <c r="E10" s="1231"/>
      <c r="F10" s="1231">
        <f>'5. sz.melléklet'!C30</f>
        <v>12700000</v>
      </c>
      <c r="G10" s="1231">
        <f>'5. sz.melléklet'!C29+'5. sz.melléklet'!C31+'5. sz.melléklet'!C33</f>
        <v>158290848</v>
      </c>
      <c r="H10" s="1231"/>
      <c r="I10" s="1231">
        <f>'5. sz.melléklet'!C44</f>
        <v>196528000</v>
      </c>
      <c r="J10" s="1231"/>
      <c r="K10" s="1232"/>
      <c r="L10" s="1233">
        <f>SUM(C10:K10)</f>
        <v>419586848</v>
      </c>
    </row>
    <row r="11" spans="1:53" s="672" customFormat="1" ht="13.5" thickBot="1" x14ac:dyDescent="0.25">
      <c r="A11" s="1502"/>
      <c r="B11" s="1503" t="s">
        <v>350</v>
      </c>
      <c r="C11" s="1504">
        <f>C10</f>
        <v>52068000</v>
      </c>
      <c r="D11" s="1504"/>
      <c r="E11" s="1504"/>
      <c r="F11" s="1504">
        <f t="shared" ref="F11:I11" si="0">F10</f>
        <v>12700000</v>
      </c>
      <c r="G11" s="1504">
        <f t="shared" si="0"/>
        <v>158290848</v>
      </c>
      <c r="H11" s="1504"/>
      <c r="I11" s="1504">
        <f t="shared" si="0"/>
        <v>196528000</v>
      </c>
      <c r="J11" s="1504"/>
      <c r="K11" s="1504"/>
      <c r="L11" s="1506">
        <f>SUM(C11:K11)</f>
        <v>419586848</v>
      </c>
      <c r="M11" s="653"/>
      <c r="N11" s="654"/>
      <c r="O11" s="654"/>
      <c r="P11" s="654"/>
      <c r="Q11" s="654"/>
      <c r="R11" s="654"/>
      <c r="S11" s="654"/>
      <c r="T11" s="654"/>
      <c r="U11" s="654"/>
      <c r="V11" s="654"/>
      <c r="W11" s="654"/>
      <c r="X11" s="654"/>
      <c r="Y11" s="654"/>
      <c r="Z11" s="654"/>
      <c r="AA11" s="654"/>
      <c r="AB11" s="654"/>
      <c r="AC11" s="654"/>
      <c r="AD11" s="654"/>
      <c r="AE11" s="654"/>
      <c r="AF11" s="654"/>
      <c r="AG11" s="654"/>
      <c r="AH11" s="654"/>
      <c r="AI11" s="654"/>
      <c r="AJ11" s="654"/>
      <c r="AK11" s="654"/>
      <c r="AL11" s="654"/>
      <c r="AM11" s="654"/>
      <c r="AN11" s="654"/>
      <c r="AO11" s="654"/>
      <c r="AP11" s="654"/>
      <c r="AQ11" s="654"/>
      <c r="AR11" s="654"/>
      <c r="AS11" s="654"/>
      <c r="AT11" s="654"/>
      <c r="AU11" s="654"/>
      <c r="AV11" s="654"/>
      <c r="AW11" s="654"/>
      <c r="AX11" s="654"/>
      <c r="AY11" s="654"/>
      <c r="AZ11" s="654"/>
      <c r="BA11" s="654"/>
    </row>
    <row r="12" spans="1:53" ht="21.75" customHeight="1" x14ac:dyDescent="0.2">
      <c r="A12" s="673" t="s">
        <v>288</v>
      </c>
      <c r="B12" s="674" t="s">
        <v>289</v>
      </c>
      <c r="C12" s="667"/>
      <c r="D12" s="667"/>
      <c r="E12" s="667"/>
      <c r="F12" s="667"/>
      <c r="G12" s="667"/>
      <c r="H12" s="667"/>
      <c r="I12" s="667"/>
      <c r="J12" s="667"/>
      <c r="K12" s="668"/>
      <c r="L12" s="1236"/>
    </row>
    <row r="13" spans="1:53" ht="15" customHeight="1" x14ac:dyDescent="0.2">
      <c r="A13" s="1237"/>
      <c r="B13" s="1238" t="s">
        <v>349</v>
      </c>
      <c r="C13" s="1231"/>
      <c r="D13" s="1231"/>
      <c r="E13" s="1231">
        <f>SUM('5.b.sz. melléklet'!D24)</f>
        <v>134971058</v>
      </c>
      <c r="F13" s="1231"/>
      <c r="G13" s="1231"/>
      <c r="H13" s="1231"/>
      <c r="I13" s="1231"/>
      <c r="J13" s="1231"/>
      <c r="K13" s="1232"/>
      <c r="L13" s="1233">
        <f>SUM(C13:K13)</f>
        <v>134971058</v>
      </c>
    </row>
    <row r="14" spans="1:53" s="672" customFormat="1" ht="13.5" thickBot="1" x14ac:dyDescent="0.25">
      <c r="A14" s="1502"/>
      <c r="B14" s="1503" t="s">
        <v>350</v>
      </c>
      <c r="C14" s="1504"/>
      <c r="D14" s="1504"/>
      <c r="E14" s="1504">
        <f>'5.b.sz. melléklet'!E34</f>
        <v>136755752</v>
      </c>
      <c r="F14" s="1504"/>
      <c r="G14" s="1504"/>
      <c r="H14" s="1504"/>
      <c r="I14" s="1504"/>
      <c r="J14" s="1504"/>
      <c r="K14" s="1505">
        <f>'5. sz.melléklet'!D54</f>
        <v>27182869</v>
      </c>
      <c r="L14" s="1506">
        <f>SUM(C14:K14)</f>
        <v>163938621</v>
      </c>
      <c r="M14" s="653"/>
      <c r="N14" s="654"/>
      <c r="O14" s="654"/>
      <c r="P14" s="654"/>
      <c r="Q14" s="654"/>
      <c r="R14" s="654"/>
      <c r="S14" s="654"/>
      <c r="T14" s="654"/>
      <c r="U14" s="654"/>
      <c r="V14" s="654"/>
      <c r="W14" s="654"/>
      <c r="X14" s="654"/>
      <c r="Y14" s="654"/>
      <c r="Z14" s="654"/>
      <c r="AA14" s="654"/>
      <c r="AB14" s="654"/>
      <c r="AC14" s="654"/>
      <c r="AD14" s="654"/>
      <c r="AE14" s="654"/>
      <c r="AF14" s="654"/>
      <c r="AG14" s="654"/>
      <c r="AH14" s="654"/>
      <c r="AI14" s="654"/>
      <c r="AJ14" s="654"/>
      <c r="AK14" s="654"/>
      <c r="AL14" s="654"/>
      <c r="AM14" s="654"/>
      <c r="AN14" s="654"/>
      <c r="AO14" s="654"/>
      <c r="AP14" s="654"/>
      <c r="AQ14" s="654"/>
      <c r="AR14" s="654"/>
      <c r="AS14" s="654"/>
      <c r="AT14" s="654"/>
      <c r="AU14" s="654"/>
      <c r="AV14" s="654"/>
      <c r="AW14" s="654"/>
      <c r="AX14" s="654"/>
      <c r="AY14" s="654"/>
      <c r="AZ14" s="654"/>
      <c r="BA14" s="654"/>
    </row>
    <row r="15" spans="1:53" ht="15" customHeight="1" x14ac:dyDescent="0.2">
      <c r="A15" s="676" t="s">
        <v>278</v>
      </c>
      <c r="B15" s="666" t="s">
        <v>279</v>
      </c>
      <c r="C15" s="667"/>
      <c r="D15" s="667"/>
      <c r="E15" s="667"/>
      <c r="F15" s="667"/>
      <c r="G15" s="667"/>
      <c r="H15" s="667"/>
      <c r="I15" s="667"/>
      <c r="J15" s="667"/>
      <c r="K15" s="668"/>
      <c r="L15" s="1236"/>
    </row>
    <row r="16" spans="1:53" ht="15" customHeight="1" x14ac:dyDescent="0.2">
      <c r="A16" s="1240"/>
      <c r="B16" s="1238" t="s">
        <v>349</v>
      </c>
      <c r="C16" s="1231"/>
      <c r="D16" s="1231"/>
      <c r="E16" s="1231"/>
      <c r="F16" s="1231"/>
      <c r="G16" s="1231"/>
      <c r="H16" s="1231"/>
      <c r="I16" s="1231"/>
      <c r="J16" s="1231">
        <v>379000000</v>
      </c>
      <c r="K16" s="1232"/>
      <c r="L16" s="1233">
        <f>SUM(C16:K16)</f>
        <v>379000000</v>
      </c>
    </row>
    <row r="17" spans="1:53" s="672" customFormat="1" ht="13.5" thickBot="1" x14ac:dyDescent="0.25">
      <c r="A17" s="1507"/>
      <c r="B17" s="1503" t="s">
        <v>350</v>
      </c>
      <c r="C17" s="1504"/>
      <c r="D17" s="1504"/>
      <c r="E17" s="1504"/>
      <c r="F17" s="1504"/>
      <c r="G17" s="1504"/>
      <c r="H17" s="1504"/>
      <c r="I17" s="1504"/>
      <c r="J17" s="1504">
        <f>SUM(J16)</f>
        <v>379000000</v>
      </c>
      <c r="K17" s="1505"/>
      <c r="L17" s="1506">
        <f>SUM(C17:K17)</f>
        <v>379000000</v>
      </c>
      <c r="M17" s="653"/>
      <c r="N17" s="654"/>
      <c r="O17" s="654"/>
      <c r="P17" s="654"/>
      <c r="Q17" s="654"/>
      <c r="R17" s="654"/>
      <c r="S17" s="654"/>
      <c r="T17" s="654"/>
      <c r="U17" s="654"/>
      <c r="V17" s="654"/>
      <c r="W17" s="654"/>
      <c r="X17" s="654"/>
      <c r="Y17" s="654"/>
      <c r="Z17" s="654"/>
      <c r="AA17" s="654"/>
      <c r="AB17" s="654"/>
      <c r="AC17" s="654"/>
      <c r="AD17" s="654"/>
      <c r="AE17" s="654"/>
      <c r="AF17" s="654"/>
      <c r="AG17" s="654"/>
      <c r="AH17" s="654"/>
      <c r="AI17" s="654"/>
      <c r="AJ17" s="654"/>
      <c r="AK17" s="654"/>
      <c r="AL17" s="654"/>
      <c r="AM17" s="654"/>
      <c r="AN17" s="654"/>
      <c r="AO17" s="654"/>
      <c r="AP17" s="654"/>
      <c r="AQ17" s="654"/>
      <c r="AR17" s="654"/>
      <c r="AS17" s="654"/>
      <c r="AT17" s="654"/>
      <c r="AU17" s="654"/>
      <c r="AV17" s="654"/>
      <c r="AW17" s="654"/>
      <c r="AX17" s="654"/>
      <c r="AY17" s="654"/>
      <c r="AZ17" s="654"/>
      <c r="BA17" s="654"/>
    </row>
    <row r="18" spans="1:53" ht="27.75" customHeight="1" x14ac:dyDescent="0.2">
      <c r="A18" s="676" t="s">
        <v>237</v>
      </c>
      <c r="B18" s="674" t="s">
        <v>410</v>
      </c>
      <c r="C18" s="667"/>
      <c r="D18" s="667"/>
      <c r="E18" s="667"/>
      <c r="F18" s="667"/>
      <c r="G18" s="667"/>
      <c r="H18" s="667"/>
      <c r="I18" s="667"/>
      <c r="J18" s="667"/>
      <c r="K18" s="668"/>
      <c r="L18" s="1236"/>
    </row>
    <row r="19" spans="1:53" ht="15" customHeight="1" x14ac:dyDescent="0.2">
      <c r="A19" s="1240"/>
      <c r="B19" s="1238" t="s">
        <v>349</v>
      </c>
      <c r="C19" s="1231"/>
      <c r="D19" s="1231"/>
      <c r="E19" s="1231"/>
      <c r="F19" s="1231">
        <f>'5. sz.melléklet'!C27</f>
        <v>3600000</v>
      </c>
      <c r="G19" s="1231"/>
      <c r="H19" s="1231"/>
      <c r="I19" s="1231"/>
      <c r="J19" s="1231"/>
      <c r="K19" s="1232"/>
      <c r="L19" s="1233">
        <f>SUM(C19:K19)</f>
        <v>3600000</v>
      </c>
    </row>
    <row r="20" spans="1:53" s="672" customFormat="1" ht="13.5" thickBot="1" x14ac:dyDescent="0.25">
      <c r="A20" s="1507"/>
      <c r="B20" s="1503" t="s">
        <v>350</v>
      </c>
      <c r="C20" s="1504"/>
      <c r="D20" s="1504"/>
      <c r="E20" s="1504"/>
      <c r="F20" s="1504">
        <f>SUM(F19)</f>
        <v>3600000</v>
      </c>
      <c r="G20" s="1504"/>
      <c r="H20" s="1504"/>
      <c r="I20" s="1504"/>
      <c r="J20" s="1504"/>
      <c r="K20" s="1505"/>
      <c r="L20" s="1506">
        <f>SUM(F20:K20)</f>
        <v>3600000</v>
      </c>
      <c r="M20" s="653"/>
      <c r="N20" s="654"/>
      <c r="O20" s="654"/>
      <c r="P20" s="654"/>
      <c r="Q20" s="654"/>
      <c r="R20" s="654"/>
      <c r="S20" s="654"/>
      <c r="T20" s="654"/>
      <c r="U20" s="654"/>
      <c r="V20" s="654"/>
      <c r="W20" s="654"/>
      <c r="X20" s="654"/>
      <c r="Y20" s="654"/>
      <c r="Z20" s="654"/>
      <c r="AA20" s="654"/>
      <c r="AB20" s="654"/>
      <c r="AC20" s="654"/>
      <c r="AD20" s="654"/>
      <c r="AE20" s="654"/>
      <c r="AF20" s="654"/>
      <c r="AG20" s="654"/>
      <c r="AH20" s="654"/>
      <c r="AI20" s="654"/>
      <c r="AJ20" s="654"/>
      <c r="AK20" s="654"/>
      <c r="AL20" s="654"/>
      <c r="AM20" s="654"/>
      <c r="AN20" s="654"/>
      <c r="AO20" s="654"/>
      <c r="AP20" s="654"/>
      <c r="AQ20" s="654"/>
      <c r="AR20" s="654"/>
      <c r="AS20" s="654"/>
      <c r="AT20" s="654"/>
      <c r="AU20" s="654"/>
      <c r="AV20" s="654"/>
      <c r="AW20" s="654"/>
      <c r="AX20" s="654"/>
      <c r="AY20" s="654"/>
      <c r="AZ20" s="654"/>
      <c r="BA20" s="654"/>
    </row>
    <row r="21" spans="1:53" ht="21.75" x14ac:dyDescent="0.2">
      <c r="A21" s="673" t="s">
        <v>245</v>
      </c>
      <c r="B21" s="674" t="s">
        <v>246</v>
      </c>
      <c r="C21" s="667"/>
      <c r="D21" s="667"/>
      <c r="E21" s="667"/>
      <c r="F21" s="667"/>
      <c r="G21" s="667"/>
      <c r="H21" s="667"/>
      <c r="I21" s="667"/>
      <c r="J21" s="667"/>
      <c r="K21" s="668"/>
      <c r="L21" s="1236"/>
    </row>
    <row r="22" spans="1:53" ht="15" customHeight="1" x14ac:dyDescent="0.2">
      <c r="A22" s="1237"/>
      <c r="B22" s="1238" t="s">
        <v>349</v>
      </c>
      <c r="C22" s="1231"/>
      <c r="D22" s="1231">
        <v>6500000</v>
      </c>
      <c r="E22" s="1231"/>
      <c r="F22" s="1231">
        <v>7320000</v>
      </c>
      <c r="G22" s="1231"/>
      <c r="H22" s="1231"/>
      <c r="I22" s="1231"/>
      <c r="J22" s="1231"/>
      <c r="K22" s="1232"/>
      <c r="L22" s="1233">
        <f>SUM(C22:K22)</f>
        <v>13820000</v>
      </c>
    </row>
    <row r="23" spans="1:53" s="672" customFormat="1" ht="13.5" thickBot="1" x14ac:dyDescent="0.25">
      <c r="A23" s="926"/>
      <c r="B23" s="927" t="s">
        <v>350</v>
      </c>
      <c r="C23" s="667"/>
      <c r="D23" s="667">
        <f>D22</f>
        <v>6500000</v>
      </c>
      <c r="E23" s="667"/>
      <c r="F23" s="667">
        <f t="shared" ref="F23" si="1">F22</f>
        <v>7320000</v>
      </c>
      <c r="G23" s="667"/>
      <c r="H23" s="667"/>
      <c r="I23" s="667"/>
      <c r="J23" s="667"/>
      <c r="K23" s="668"/>
      <c r="L23" s="1236">
        <f>SUM(C23:K23)</f>
        <v>13820000</v>
      </c>
      <c r="M23" s="653"/>
      <c r="N23" s="654"/>
      <c r="O23" s="654"/>
      <c r="P23" s="654"/>
      <c r="Q23" s="654"/>
      <c r="R23" s="654"/>
      <c r="S23" s="654"/>
      <c r="T23" s="654"/>
      <c r="U23" s="654"/>
      <c r="V23" s="654"/>
      <c r="W23" s="654"/>
      <c r="X23" s="654"/>
      <c r="Y23" s="654"/>
      <c r="Z23" s="654"/>
      <c r="AA23" s="654"/>
      <c r="AB23" s="654"/>
      <c r="AC23" s="654"/>
      <c r="AD23" s="654"/>
      <c r="AE23" s="654"/>
      <c r="AF23" s="654"/>
      <c r="AG23" s="654"/>
      <c r="AH23" s="654"/>
      <c r="AI23" s="654"/>
      <c r="AJ23" s="654"/>
      <c r="AK23" s="654"/>
      <c r="AL23" s="654"/>
      <c r="AM23" s="654"/>
      <c r="AN23" s="654"/>
      <c r="AO23" s="654"/>
      <c r="AP23" s="654"/>
      <c r="AQ23" s="654"/>
      <c r="AR23" s="654"/>
      <c r="AS23" s="654"/>
      <c r="AT23" s="654"/>
      <c r="AU23" s="654"/>
      <c r="AV23" s="654"/>
      <c r="AW23" s="654"/>
      <c r="AX23" s="654"/>
      <c r="AY23" s="654"/>
      <c r="AZ23" s="654"/>
      <c r="BA23" s="654"/>
    </row>
    <row r="24" spans="1:53" s="638" customFormat="1" ht="24" customHeight="1" x14ac:dyDescent="0.2">
      <c r="A24" s="632" t="s">
        <v>268</v>
      </c>
      <c r="B24" s="633" t="s">
        <v>495</v>
      </c>
      <c r="C24" s="634"/>
      <c r="D24" s="634"/>
      <c r="E24" s="634"/>
      <c r="F24" s="634"/>
      <c r="G24" s="634"/>
      <c r="H24" s="634"/>
      <c r="I24" s="634"/>
      <c r="J24" s="634"/>
      <c r="K24" s="635"/>
      <c r="L24" s="636"/>
      <c r="M24" s="637"/>
    </row>
    <row r="25" spans="1:53" s="638" customFormat="1" ht="15" customHeight="1" x14ac:dyDescent="0.2">
      <c r="A25" s="928"/>
      <c r="B25" s="687" t="s">
        <v>349</v>
      </c>
      <c r="C25" s="688">
        <v>2134000</v>
      </c>
      <c r="D25" s="688"/>
      <c r="E25" s="688"/>
      <c r="F25" s="688"/>
      <c r="G25" s="688"/>
      <c r="H25" s="688"/>
      <c r="I25" s="688"/>
      <c r="J25" s="688"/>
      <c r="K25" s="1247"/>
      <c r="L25" s="690">
        <f>SUM(C25:K25)</f>
        <v>2134000</v>
      </c>
      <c r="M25" s="637"/>
    </row>
    <row r="26" spans="1:53" s="638" customFormat="1" ht="15" customHeight="1" thickBot="1" x14ac:dyDescent="0.25">
      <c r="A26" s="988"/>
      <c r="B26" s="989" t="s">
        <v>350</v>
      </c>
      <c r="C26" s="1234">
        <f>C25</f>
        <v>2134000</v>
      </c>
      <c r="D26" s="1234"/>
      <c r="E26" s="1234"/>
      <c r="F26" s="1234"/>
      <c r="G26" s="1234"/>
      <c r="H26" s="1234"/>
      <c r="I26" s="1234"/>
      <c r="J26" s="1234"/>
      <c r="K26" s="1235"/>
      <c r="L26" s="1239">
        <f>SUM(C26:K26)</f>
        <v>2134000</v>
      </c>
      <c r="M26" s="637"/>
    </row>
    <row r="27" spans="1:53" ht="15" customHeight="1" x14ac:dyDescent="0.2">
      <c r="A27" s="673" t="s">
        <v>300</v>
      </c>
      <c r="B27" s="674" t="s">
        <v>301</v>
      </c>
      <c r="C27" s="667"/>
      <c r="D27" s="667"/>
      <c r="E27" s="667"/>
      <c r="F27" s="667"/>
      <c r="G27" s="667"/>
      <c r="H27" s="667"/>
      <c r="I27" s="667"/>
      <c r="J27" s="667"/>
      <c r="K27" s="668"/>
      <c r="L27" s="1236"/>
    </row>
    <row r="28" spans="1:53" ht="15" customHeight="1" x14ac:dyDescent="0.2">
      <c r="A28" s="1237"/>
      <c r="B28" s="1238" t="s">
        <v>349</v>
      </c>
      <c r="C28" s="1231">
        <v>1300000</v>
      </c>
      <c r="D28" s="1231"/>
      <c r="E28" s="1231"/>
      <c r="F28" s="1231"/>
      <c r="G28" s="1231"/>
      <c r="H28" s="1231"/>
      <c r="I28" s="1231"/>
      <c r="J28" s="1231"/>
      <c r="K28" s="1232"/>
      <c r="L28" s="1233">
        <f>SUM(C28:K28)</f>
        <v>1300000</v>
      </c>
    </row>
    <row r="29" spans="1:53" s="672" customFormat="1" ht="13.5" thickBot="1" x14ac:dyDescent="0.25">
      <c r="A29" s="675"/>
      <c r="B29" s="1508" t="s">
        <v>350</v>
      </c>
      <c r="C29" s="1499">
        <f>SUM(C28)</f>
        <v>1300000</v>
      </c>
      <c r="D29" s="1499"/>
      <c r="E29" s="1499"/>
      <c r="F29" s="1499"/>
      <c r="G29" s="1499"/>
      <c r="H29" s="1499"/>
      <c r="I29" s="1499"/>
      <c r="J29" s="1499"/>
      <c r="K29" s="1500"/>
      <c r="L29" s="1501">
        <f>SUM(C29:K29)</f>
        <v>1300000</v>
      </c>
      <c r="M29" s="653"/>
      <c r="N29" s="654"/>
      <c r="O29" s="654"/>
      <c r="P29" s="654"/>
      <c r="Q29" s="654"/>
      <c r="R29" s="654"/>
      <c r="S29" s="654"/>
      <c r="T29" s="654"/>
      <c r="U29" s="654"/>
      <c r="V29" s="654"/>
      <c r="W29" s="654"/>
      <c r="X29" s="654"/>
      <c r="Y29" s="654"/>
      <c r="Z29" s="654"/>
      <c r="AA29" s="654"/>
      <c r="AB29" s="654"/>
      <c r="AC29" s="654"/>
      <c r="AD29" s="654"/>
      <c r="AE29" s="654"/>
      <c r="AF29" s="654"/>
      <c r="AG29" s="654"/>
      <c r="AH29" s="654"/>
      <c r="AI29" s="654"/>
      <c r="AJ29" s="654"/>
      <c r="AK29" s="654"/>
      <c r="AL29" s="654"/>
      <c r="AM29" s="654"/>
      <c r="AN29" s="654"/>
      <c r="AO29" s="654"/>
      <c r="AP29" s="654"/>
      <c r="AQ29" s="654"/>
      <c r="AR29" s="654"/>
      <c r="AS29" s="654"/>
      <c r="AT29" s="654"/>
      <c r="AU29" s="654"/>
      <c r="AV29" s="654"/>
      <c r="AW29" s="654"/>
      <c r="AX29" s="654"/>
      <c r="AY29" s="654"/>
      <c r="AZ29" s="654"/>
      <c r="BA29" s="654"/>
    </row>
    <row r="30" spans="1:53" ht="21.75" x14ac:dyDescent="0.2">
      <c r="A30" s="673" t="s">
        <v>249</v>
      </c>
      <c r="B30" s="674" t="s">
        <v>159</v>
      </c>
      <c r="C30" s="677"/>
      <c r="D30" s="678"/>
      <c r="E30" s="678"/>
      <c r="F30" s="678"/>
      <c r="G30" s="678"/>
      <c r="H30" s="678"/>
      <c r="I30" s="678"/>
      <c r="J30" s="678"/>
      <c r="K30" s="679"/>
      <c r="L30" s="1236"/>
    </row>
    <row r="31" spans="1:53" ht="15" customHeight="1" x14ac:dyDescent="0.2">
      <c r="A31" s="1237"/>
      <c r="B31" s="1238" t="s">
        <v>349</v>
      </c>
      <c r="C31" s="1241">
        <v>8351000</v>
      </c>
      <c r="D31" s="1242"/>
      <c r="E31" s="1242"/>
      <c r="F31" s="1242"/>
      <c r="G31" s="1242"/>
      <c r="H31" s="1242"/>
      <c r="I31" s="1242"/>
      <c r="J31" s="1242"/>
      <c r="K31" s="1243"/>
      <c r="L31" s="1233">
        <f>SUM(C31:K31)</f>
        <v>8351000</v>
      </c>
    </row>
    <row r="32" spans="1:53" s="672" customFormat="1" ht="13.5" thickBot="1" x14ac:dyDescent="0.25">
      <c r="A32" s="1502"/>
      <c r="B32" s="1503" t="s">
        <v>350</v>
      </c>
      <c r="C32" s="1509">
        <f>SUM(C31)</f>
        <v>8351000</v>
      </c>
      <c r="D32" s="1510"/>
      <c r="E32" s="1510"/>
      <c r="F32" s="1510"/>
      <c r="G32" s="1510"/>
      <c r="H32" s="1510"/>
      <c r="I32" s="1510"/>
      <c r="J32" s="1510"/>
      <c r="K32" s="1511"/>
      <c r="L32" s="1506">
        <f>SUM(C32:K32)</f>
        <v>8351000</v>
      </c>
      <c r="M32" s="653"/>
      <c r="N32" s="654"/>
      <c r="O32" s="654"/>
      <c r="P32" s="654"/>
      <c r="Q32" s="654"/>
      <c r="R32" s="654"/>
      <c r="S32" s="654"/>
      <c r="T32" s="654"/>
      <c r="U32" s="654"/>
      <c r="V32" s="654"/>
      <c r="W32" s="654"/>
      <c r="X32" s="654"/>
      <c r="Y32" s="654"/>
      <c r="Z32" s="654"/>
      <c r="AA32" s="654"/>
      <c r="AB32" s="654"/>
      <c r="AC32" s="654"/>
      <c r="AD32" s="654"/>
      <c r="AE32" s="654"/>
      <c r="AF32" s="654"/>
      <c r="AG32" s="654"/>
      <c r="AH32" s="654"/>
      <c r="AI32" s="654"/>
      <c r="AJ32" s="654"/>
      <c r="AK32" s="654"/>
      <c r="AL32" s="654"/>
      <c r="AM32" s="654"/>
      <c r="AN32" s="654"/>
      <c r="AO32" s="654"/>
      <c r="AP32" s="654"/>
      <c r="AQ32" s="654"/>
      <c r="AR32" s="654"/>
      <c r="AS32" s="654"/>
      <c r="AT32" s="654"/>
      <c r="AU32" s="654"/>
      <c r="AV32" s="654"/>
      <c r="AW32" s="654"/>
      <c r="AX32" s="654"/>
      <c r="AY32" s="654"/>
      <c r="AZ32" s="654"/>
      <c r="BA32" s="654"/>
    </row>
    <row r="33" spans="1:53" ht="26.25" customHeight="1" x14ac:dyDescent="0.2">
      <c r="A33" s="673" t="s">
        <v>250</v>
      </c>
      <c r="B33" s="674" t="s">
        <v>276</v>
      </c>
      <c r="C33" s="680"/>
      <c r="D33" s="678"/>
      <c r="E33" s="678"/>
      <c r="F33" s="678"/>
      <c r="G33" s="678"/>
      <c r="H33" s="678"/>
      <c r="I33" s="678"/>
      <c r="J33" s="678"/>
      <c r="K33" s="679"/>
      <c r="L33" s="1236"/>
    </row>
    <row r="34" spans="1:53" ht="15" customHeight="1" x14ac:dyDescent="0.2">
      <c r="A34" s="1237"/>
      <c r="B34" s="1238" t="s">
        <v>349</v>
      </c>
      <c r="C34" s="1241">
        <v>8460000</v>
      </c>
      <c r="D34" s="1242"/>
      <c r="E34" s="1242"/>
      <c r="F34" s="1242"/>
      <c r="G34" s="1242"/>
      <c r="H34" s="1242"/>
      <c r="I34" s="1242"/>
      <c r="J34" s="1242"/>
      <c r="K34" s="1243"/>
      <c r="L34" s="1233">
        <f>SUM(C34:K34)</f>
        <v>8460000</v>
      </c>
    </row>
    <row r="35" spans="1:53" s="672" customFormat="1" ht="13.5" thickBot="1" x14ac:dyDescent="0.25">
      <c r="A35" s="1502"/>
      <c r="B35" s="1503" t="s">
        <v>350</v>
      </c>
      <c r="C35" s="1509">
        <f>SUM(C34)</f>
        <v>8460000</v>
      </c>
      <c r="D35" s="1510"/>
      <c r="E35" s="1510"/>
      <c r="F35" s="1510"/>
      <c r="G35" s="1510"/>
      <c r="H35" s="1512"/>
      <c r="I35" s="1510"/>
      <c r="J35" s="1510"/>
      <c r="K35" s="1511"/>
      <c r="L35" s="1506">
        <f>SUM(C35:K35)</f>
        <v>8460000</v>
      </c>
      <c r="M35" s="653"/>
      <c r="N35" s="654"/>
      <c r="O35" s="654"/>
      <c r="P35" s="654"/>
      <c r="Q35" s="654"/>
      <c r="R35" s="654"/>
      <c r="S35" s="654"/>
      <c r="T35" s="654"/>
      <c r="U35" s="654"/>
      <c r="V35" s="654"/>
      <c r="W35" s="654"/>
      <c r="X35" s="654"/>
      <c r="Y35" s="654"/>
      <c r="Z35" s="654"/>
      <c r="AA35" s="654"/>
      <c r="AB35" s="654"/>
      <c r="AC35" s="654"/>
      <c r="AD35" s="654"/>
      <c r="AE35" s="654"/>
      <c r="AF35" s="654"/>
      <c r="AG35" s="654"/>
      <c r="AH35" s="654"/>
      <c r="AI35" s="654"/>
      <c r="AJ35" s="654"/>
      <c r="AK35" s="654"/>
      <c r="AL35" s="654"/>
      <c r="AM35" s="654"/>
      <c r="AN35" s="654"/>
      <c r="AO35" s="654"/>
      <c r="AP35" s="654"/>
      <c r="AQ35" s="654"/>
      <c r="AR35" s="654"/>
      <c r="AS35" s="654"/>
      <c r="AT35" s="654"/>
      <c r="AU35" s="654"/>
      <c r="AV35" s="654"/>
      <c r="AW35" s="654"/>
      <c r="AX35" s="654"/>
      <c r="AY35" s="654"/>
      <c r="AZ35" s="654"/>
      <c r="BA35" s="654"/>
    </row>
    <row r="36" spans="1:53" ht="15" customHeight="1" x14ac:dyDescent="0.2">
      <c r="A36" s="673" t="s">
        <v>252</v>
      </c>
      <c r="B36" s="674" t="s">
        <v>253</v>
      </c>
      <c r="C36" s="667"/>
      <c r="D36" s="667"/>
      <c r="E36" s="667"/>
      <c r="F36" s="667"/>
      <c r="G36" s="667"/>
      <c r="H36" s="667"/>
      <c r="I36" s="667"/>
      <c r="J36" s="667"/>
      <c r="K36" s="668"/>
      <c r="L36" s="1236"/>
    </row>
    <row r="37" spans="1:53" x14ac:dyDescent="0.2">
      <c r="A37" s="1237"/>
      <c r="B37" s="1238" t="s">
        <v>349</v>
      </c>
      <c r="C37" s="1231">
        <v>1016000</v>
      </c>
      <c r="D37" s="1231"/>
      <c r="E37" s="1231"/>
      <c r="F37" s="1231"/>
      <c r="G37" s="1231"/>
      <c r="H37" s="1231"/>
      <c r="I37" s="1231"/>
      <c r="J37" s="1231"/>
      <c r="K37" s="1232"/>
      <c r="L37" s="1233">
        <f>SUM(C37:K37)</f>
        <v>1016000</v>
      </c>
    </row>
    <row r="38" spans="1:53" s="672" customFormat="1" ht="13.5" thickBot="1" x14ac:dyDescent="0.25">
      <c r="A38" s="1502"/>
      <c r="B38" s="1503" t="s">
        <v>350</v>
      </c>
      <c r="C38" s="1504">
        <f>C37</f>
        <v>1016000</v>
      </c>
      <c r="D38" s="1504"/>
      <c r="E38" s="1504"/>
      <c r="F38" s="1504"/>
      <c r="G38" s="1504"/>
      <c r="H38" s="1504"/>
      <c r="I38" s="1504"/>
      <c r="J38" s="1504"/>
      <c r="K38" s="1505"/>
      <c r="L38" s="1506">
        <f>SUM(C38:K38)</f>
        <v>1016000</v>
      </c>
      <c r="M38" s="653"/>
      <c r="N38" s="654"/>
      <c r="O38" s="654"/>
      <c r="P38" s="654"/>
      <c r="Q38" s="654"/>
      <c r="R38" s="654"/>
      <c r="S38" s="654"/>
      <c r="T38" s="654"/>
      <c r="U38" s="654"/>
      <c r="V38" s="654"/>
      <c r="W38" s="654"/>
      <c r="X38" s="654"/>
      <c r="Y38" s="654"/>
      <c r="Z38" s="654"/>
      <c r="AA38" s="654"/>
      <c r="AB38" s="654"/>
      <c r="AC38" s="654"/>
      <c r="AD38" s="654"/>
      <c r="AE38" s="654"/>
      <c r="AF38" s="654"/>
      <c r="AG38" s="654"/>
      <c r="AH38" s="654"/>
      <c r="AI38" s="654"/>
      <c r="AJ38" s="654"/>
      <c r="AK38" s="654"/>
      <c r="AL38" s="654"/>
      <c r="AM38" s="654"/>
      <c r="AN38" s="654"/>
      <c r="AO38" s="654"/>
      <c r="AP38" s="654"/>
      <c r="AQ38" s="654"/>
      <c r="AR38" s="654"/>
      <c r="AS38" s="654"/>
      <c r="AT38" s="654"/>
      <c r="AU38" s="654"/>
      <c r="AV38" s="654"/>
      <c r="AW38" s="654"/>
      <c r="AX38" s="654"/>
      <c r="AY38" s="654"/>
      <c r="AZ38" s="654"/>
      <c r="BA38" s="654"/>
    </row>
    <row r="39" spans="1:53" ht="21.75" x14ac:dyDescent="0.2">
      <c r="A39" s="673" t="s">
        <v>254</v>
      </c>
      <c r="B39" s="674" t="s">
        <v>108</v>
      </c>
      <c r="C39" s="667"/>
      <c r="D39" s="667"/>
      <c r="E39" s="667"/>
      <c r="F39" s="667"/>
      <c r="G39" s="667"/>
      <c r="H39" s="667"/>
      <c r="I39" s="667"/>
      <c r="J39" s="667"/>
      <c r="K39" s="668"/>
      <c r="L39" s="1236"/>
    </row>
    <row r="40" spans="1:53" ht="15" customHeight="1" x14ac:dyDescent="0.2">
      <c r="A40" s="1237"/>
      <c r="B40" s="1238" t="s">
        <v>349</v>
      </c>
      <c r="C40" s="1231">
        <v>762000</v>
      </c>
      <c r="D40" s="1231"/>
      <c r="E40" s="1231"/>
      <c r="F40" s="1231"/>
      <c r="G40" s="1231"/>
      <c r="H40" s="1231"/>
      <c r="I40" s="1231"/>
      <c r="J40" s="1231"/>
      <c r="K40" s="1232"/>
      <c r="L40" s="1233">
        <f>SUM(C40:K40)</f>
        <v>762000</v>
      </c>
    </row>
    <row r="41" spans="1:53" s="672" customFormat="1" ht="13.5" thickBot="1" x14ac:dyDescent="0.25">
      <c r="A41" s="1502"/>
      <c r="B41" s="1503" t="s">
        <v>350</v>
      </c>
      <c r="C41" s="1504">
        <f>SUM(C40)</f>
        <v>762000</v>
      </c>
      <c r="D41" s="1504"/>
      <c r="E41" s="1504"/>
      <c r="F41" s="1504"/>
      <c r="G41" s="1504"/>
      <c r="H41" s="1504"/>
      <c r="I41" s="1504"/>
      <c r="J41" s="1504"/>
      <c r="K41" s="1505"/>
      <c r="L41" s="1506">
        <f>SUM(C41:K41)</f>
        <v>762000</v>
      </c>
      <c r="M41" s="653"/>
      <c r="N41" s="654"/>
      <c r="O41" s="654"/>
      <c r="P41" s="654"/>
      <c r="Q41" s="654"/>
      <c r="R41" s="654"/>
      <c r="S41" s="654"/>
      <c r="T41" s="654"/>
      <c r="U41" s="654"/>
      <c r="V41" s="654"/>
      <c r="W41" s="654"/>
      <c r="X41" s="654"/>
      <c r="Y41" s="654"/>
      <c r="Z41" s="654"/>
      <c r="AA41" s="654"/>
      <c r="AB41" s="654"/>
      <c r="AC41" s="654"/>
      <c r="AD41" s="654"/>
      <c r="AE41" s="654"/>
      <c r="AF41" s="654"/>
      <c r="AG41" s="654"/>
      <c r="AH41" s="654"/>
      <c r="AI41" s="654"/>
      <c r="AJ41" s="654"/>
      <c r="AK41" s="654"/>
      <c r="AL41" s="654"/>
      <c r="AM41" s="654"/>
      <c r="AN41" s="654"/>
      <c r="AO41" s="654"/>
      <c r="AP41" s="654"/>
      <c r="AQ41" s="654"/>
      <c r="AR41" s="654"/>
      <c r="AS41" s="654"/>
      <c r="AT41" s="654"/>
      <c r="AU41" s="654"/>
      <c r="AV41" s="654"/>
      <c r="AW41" s="654"/>
      <c r="AX41" s="654"/>
      <c r="AY41" s="654"/>
      <c r="AZ41" s="654"/>
      <c r="BA41" s="654"/>
    </row>
    <row r="42" spans="1:53" ht="23.25" customHeight="1" x14ac:dyDescent="0.2">
      <c r="A42" s="673" t="s">
        <v>255</v>
      </c>
      <c r="B42" s="674" t="s">
        <v>161</v>
      </c>
      <c r="C42" s="667"/>
      <c r="D42" s="667"/>
      <c r="E42" s="667"/>
      <c r="F42" s="667"/>
      <c r="G42" s="667"/>
      <c r="H42" s="667"/>
      <c r="I42" s="667"/>
      <c r="J42" s="667"/>
      <c r="K42" s="668"/>
      <c r="L42" s="1236"/>
    </row>
    <row r="43" spans="1:53" ht="15" customHeight="1" x14ac:dyDescent="0.2">
      <c r="A43" s="1237"/>
      <c r="B43" s="1238" t="s">
        <v>349</v>
      </c>
      <c r="C43" s="1231"/>
      <c r="D43" s="1231"/>
      <c r="E43" s="1231"/>
      <c r="F43" s="1231">
        <f>(914500+150600)*12</f>
        <v>12781200</v>
      </c>
      <c r="G43" s="1231"/>
      <c r="H43" s="1231"/>
      <c r="I43" s="1231"/>
      <c r="J43" s="1231"/>
      <c r="K43" s="1232"/>
      <c r="L43" s="1233">
        <f>SUM(C43:K43)</f>
        <v>12781200</v>
      </c>
    </row>
    <row r="44" spans="1:53" s="672" customFormat="1" ht="13.5" thickBot="1" x14ac:dyDescent="0.25">
      <c r="A44" s="1502"/>
      <c r="B44" s="1503" t="s">
        <v>350</v>
      </c>
      <c r="C44" s="1504"/>
      <c r="D44" s="1504"/>
      <c r="E44" s="1504"/>
      <c r="F44" s="1504">
        <f>SUM(F43)</f>
        <v>12781200</v>
      </c>
      <c r="G44" s="1504"/>
      <c r="H44" s="1504"/>
      <c r="I44" s="1504"/>
      <c r="J44" s="1504"/>
      <c r="K44" s="1505"/>
      <c r="L44" s="1506">
        <f>SUM(C44:K44)</f>
        <v>12781200</v>
      </c>
      <c r="M44" s="653"/>
      <c r="N44" s="654"/>
      <c r="O44" s="654"/>
      <c r="P44" s="654"/>
      <c r="Q44" s="654"/>
      <c r="R44" s="654"/>
      <c r="S44" s="654"/>
      <c r="T44" s="654"/>
      <c r="U44" s="654"/>
      <c r="V44" s="654"/>
      <c r="W44" s="654"/>
      <c r="X44" s="654"/>
      <c r="Y44" s="654"/>
      <c r="Z44" s="654"/>
      <c r="AA44" s="654"/>
      <c r="AB44" s="654"/>
      <c r="AC44" s="654"/>
      <c r="AD44" s="654"/>
      <c r="AE44" s="654"/>
      <c r="AF44" s="654"/>
      <c r="AG44" s="654"/>
      <c r="AH44" s="654"/>
      <c r="AI44" s="654"/>
      <c r="AJ44" s="654"/>
      <c r="AK44" s="654"/>
      <c r="AL44" s="654"/>
      <c r="AM44" s="654"/>
      <c r="AN44" s="654"/>
      <c r="AO44" s="654"/>
      <c r="AP44" s="654"/>
      <c r="AQ44" s="654"/>
      <c r="AR44" s="654"/>
      <c r="AS44" s="654"/>
      <c r="AT44" s="654"/>
      <c r="AU44" s="654"/>
      <c r="AV44" s="654"/>
      <c r="AW44" s="654"/>
      <c r="AX44" s="654"/>
      <c r="AY44" s="654"/>
      <c r="AZ44" s="654"/>
      <c r="BA44" s="654"/>
    </row>
    <row r="45" spans="1:53" ht="26.25" customHeight="1" x14ac:dyDescent="0.2">
      <c r="A45" s="673" t="s">
        <v>256</v>
      </c>
      <c r="B45" s="674" t="s">
        <v>302</v>
      </c>
      <c r="C45" s="667"/>
      <c r="D45" s="667"/>
      <c r="E45" s="667"/>
      <c r="F45" s="667"/>
      <c r="G45" s="667"/>
      <c r="H45" s="667"/>
      <c r="I45" s="667"/>
      <c r="J45" s="667"/>
      <c r="K45" s="668"/>
      <c r="L45" s="1236"/>
    </row>
    <row r="46" spans="1:53" ht="15" customHeight="1" x14ac:dyDescent="0.2">
      <c r="A46" s="1237"/>
      <c r="B46" s="1238" t="s">
        <v>349</v>
      </c>
      <c r="C46" s="1231"/>
      <c r="D46" s="1231"/>
      <c r="E46" s="1231"/>
      <c r="F46" s="1231">
        <f>27900*12</f>
        <v>334800</v>
      </c>
      <c r="G46" s="1231"/>
      <c r="H46" s="1231"/>
      <c r="I46" s="1231"/>
      <c r="J46" s="1231"/>
      <c r="K46" s="1232"/>
      <c r="L46" s="1233">
        <f>SUM(C46:K46)</f>
        <v>334800</v>
      </c>
    </row>
    <row r="47" spans="1:53" s="672" customFormat="1" ht="13.5" thickBot="1" x14ac:dyDescent="0.25">
      <c r="A47" s="1502"/>
      <c r="B47" s="1503" t="s">
        <v>350</v>
      </c>
      <c r="C47" s="1504"/>
      <c r="D47" s="1504"/>
      <c r="E47" s="1504"/>
      <c r="F47" s="1504">
        <f>SUM(F46)</f>
        <v>334800</v>
      </c>
      <c r="G47" s="1504"/>
      <c r="H47" s="1504"/>
      <c r="I47" s="1504"/>
      <c r="J47" s="1504"/>
      <c r="K47" s="1505"/>
      <c r="L47" s="1506">
        <f>SUM(C47:K47)</f>
        <v>334800</v>
      </c>
      <c r="M47" s="653"/>
      <c r="N47" s="654"/>
      <c r="O47" s="654"/>
      <c r="P47" s="654"/>
      <c r="Q47" s="654"/>
      <c r="R47" s="654"/>
      <c r="S47" s="654"/>
      <c r="T47" s="654"/>
      <c r="U47" s="654"/>
      <c r="V47" s="654"/>
      <c r="W47" s="654"/>
      <c r="X47" s="654"/>
      <c r="Y47" s="654"/>
      <c r="Z47" s="654"/>
      <c r="AA47" s="654"/>
      <c r="AB47" s="654"/>
      <c r="AC47" s="654"/>
      <c r="AD47" s="654"/>
      <c r="AE47" s="654"/>
      <c r="AF47" s="654"/>
      <c r="AG47" s="654"/>
      <c r="AH47" s="654"/>
      <c r="AI47" s="654"/>
      <c r="AJ47" s="654"/>
      <c r="AK47" s="654"/>
      <c r="AL47" s="654"/>
      <c r="AM47" s="654"/>
      <c r="AN47" s="654"/>
      <c r="AO47" s="654"/>
      <c r="AP47" s="654"/>
      <c r="AQ47" s="654"/>
      <c r="AR47" s="654"/>
      <c r="AS47" s="654"/>
      <c r="AT47" s="654"/>
      <c r="AU47" s="654"/>
      <c r="AV47" s="654"/>
      <c r="AW47" s="654"/>
      <c r="AX47" s="654"/>
      <c r="AY47" s="654"/>
      <c r="AZ47" s="654"/>
      <c r="BA47" s="654"/>
    </row>
    <row r="48" spans="1:53" ht="24.75" customHeight="1" x14ac:dyDescent="0.2">
      <c r="A48" s="673" t="s">
        <v>259</v>
      </c>
      <c r="B48" s="674" t="s">
        <v>260</v>
      </c>
      <c r="C48" s="667"/>
      <c r="D48" s="667"/>
      <c r="E48" s="667"/>
      <c r="F48" s="667"/>
      <c r="G48" s="667"/>
      <c r="H48" s="667"/>
      <c r="I48" s="667"/>
      <c r="J48" s="667"/>
      <c r="K48" s="668"/>
      <c r="L48" s="1236"/>
    </row>
    <row r="49" spans="1:53" ht="18" customHeight="1" x14ac:dyDescent="0.2">
      <c r="A49" s="1237"/>
      <c r="B49" s="1238" t="s">
        <v>349</v>
      </c>
      <c r="C49" s="1231">
        <v>508000</v>
      </c>
      <c r="D49" s="1231"/>
      <c r="E49" s="1231"/>
      <c r="F49" s="1231"/>
      <c r="G49" s="1231"/>
      <c r="H49" s="1231"/>
      <c r="I49" s="1231"/>
      <c r="J49" s="1231"/>
      <c r="K49" s="1232"/>
      <c r="L49" s="1233">
        <f>SUM(C49:K49)</f>
        <v>508000</v>
      </c>
    </row>
    <row r="50" spans="1:53" s="672" customFormat="1" ht="13.5" thickBot="1" x14ac:dyDescent="0.25">
      <c r="A50" s="926"/>
      <c r="B50" s="927" t="s">
        <v>350</v>
      </c>
      <c r="C50" s="667">
        <f>SUM(C49)</f>
        <v>508000</v>
      </c>
      <c r="D50" s="667"/>
      <c r="E50" s="667"/>
      <c r="F50" s="667"/>
      <c r="G50" s="667"/>
      <c r="H50" s="667"/>
      <c r="I50" s="667"/>
      <c r="J50" s="667"/>
      <c r="K50" s="668"/>
      <c r="L50" s="1236">
        <f>SUM(C50:K50)</f>
        <v>508000</v>
      </c>
      <c r="M50" s="653"/>
      <c r="N50" s="654"/>
      <c r="O50" s="654"/>
      <c r="P50" s="654"/>
      <c r="Q50" s="654"/>
      <c r="R50" s="654"/>
      <c r="S50" s="654"/>
      <c r="T50" s="654"/>
      <c r="U50" s="654"/>
      <c r="V50" s="654"/>
      <c r="W50" s="654"/>
      <c r="X50" s="654"/>
      <c r="Y50" s="654"/>
      <c r="Z50" s="654"/>
      <c r="AA50" s="654"/>
      <c r="AB50" s="654"/>
      <c r="AC50" s="654"/>
      <c r="AD50" s="654"/>
      <c r="AE50" s="654"/>
      <c r="AF50" s="654"/>
      <c r="AG50" s="654"/>
      <c r="AH50" s="654"/>
      <c r="AI50" s="654"/>
      <c r="AJ50" s="654"/>
      <c r="AK50" s="654"/>
      <c r="AL50" s="654"/>
      <c r="AM50" s="654"/>
      <c r="AN50" s="654"/>
      <c r="AO50" s="654"/>
      <c r="AP50" s="654"/>
      <c r="AQ50" s="654"/>
      <c r="AR50" s="654"/>
      <c r="AS50" s="654"/>
      <c r="AT50" s="654"/>
      <c r="AU50" s="654"/>
      <c r="AV50" s="654"/>
      <c r="AW50" s="654"/>
      <c r="AX50" s="654"/>
      <c r="AY50" s="654"/>
      <c r="AZ50" s="654"/>
      <c r="BA50" s="654"/>
    </row>
    <row r="51" spans="1:53" s="638" customFormat="1" ht="23.25" customHeight="1" x14ac:dyDescent="0.2">
      <c r="A51" s="632" t="s">
        <v>274</v>
      </c>
      <c r="B51" s="633" t="s">
        <v>275</v>
      </c>
      <c r="C51" s="634"/>
      <c r="D51" s="634"/>
      <c r="E51" s="634"/>
      <c r="F51" s="634"/>
      <c r="G51" s="634"/>
      <c r="H51" s="634"/>
      <c r="I51" s="634"/>
      <c r="J51" s="634"/>
      <c r="K51" s="635"/>
      <c r="L51" s="636"/>
      <c r="M51" s="637"/>
    </row>
    <row r="52" spans="1:53" s="638" customFormat="1" ht="15" customHeight="1" x14ac:dyDescent="0.2">
      <c r="A52" s="928"/>
      <c r="B52" s="687" t="s">
        <v>349</v>
      </c>
      <c r="C52" s="688"/>
      <c r="D52" s="688"/>
      <c r="E52" s="688"/>
      <c r="F52" s="688">
        <f>'5. sz.melléklet'!C32</f>
        <v>8000000</v>
      </c>
      <c r="G52" s="688">
        <f>'5. sz.melléklet'!C35+'5. sz.melléklet'!C34</f>
        <v>16387410.555555556</v>
      </c>
      <c r="H52" s="688"/>
      <c r="I52" s="688"/>
      <c r="J52" s="688"/>
      <c r="K52" s="1247"/>
      <c r="L52" s="690">
        <f>SUM(C52:K52)</f>
        <v>24387410.555555556</v>
      </c>
      <c r="M52" s="637"/>
    </row>
    <row r="53" spans="1:53" s="638" customFormat="1" ht="15" customHeight="1" thickBot="1" x14ac:dyDescent="0.25">
      <c r="A53" s="639"/>
      <c r="B53" s="640" t="s">
        <v>350</v>
      </c>
      <c r="C53" s="641"/>
      <c r="D53" s="641"/>
      <c r="E53" s="641"/>
      <c r="F53" s="641">
        <f>F52</f>
        <v>8000000</v>
      </c>
      <c r="G53" s="641">
        <f>G52</f>
        <v>16387410.555555556</v>
      </c>
      <c r="H53" s="641"/>
      <c r="I53" s="641"/>
      <c r="J53" s="641"/>
      <c r="K53" s="642"/>
      <c r="L53" s="643">
        <f>SUM(F53:K53)</f>
        <v>24387410.555555556</v>
      </c>
      <c r="M53" s="637"/>
    </row>
    <row r="54" spans="1:53" ht="21.75" customHeight="1" x14ac:dyDescent="0.2">
      <c r="A54" s="673" t="s">
        <v>377</v>
      </c>
      <c r="B54" s="674" t="s">
        <v>384</v>
      </c>
      <c r="C54" s="667"/>
      <c r="D54" s="667"/>
      <c r="E54" s="667"/>
      <c r="F54" s="667"/>
      <c r="G54" s="667"/>
      <c r="H54" s="667"/>
      <c r="I54" s="667"/>
      <c r="J54" s="667"/>
      <c r="K54" s="668"/>
      <c r="L54" s="1236"/>
    </row>
    <row r="55" spans="1:53" ht="15" customHeight="1" x14ac:dyDescent="0.2">
      <c r="A55" s="1237"/>
      <c r="B55" s="1238" t="s">
        <v>349</v>
      </c>
      <c r="C55" s="1231">
        <v>9834000</v>
      </c>
      <c r="D55" s="1231"/>
      <c r="E55" s="1231"/>
      <c r="F55" s="1231"/>
      <c r="G55" s="1231"/>
      <c r="H55" s="1231"/>
      <c r="I55" s="1231"/>
      <c r="J55" s="1231"/>
      <c r="K55" s="1232"/>
      <c r="L55" s="1233">
        <f>SUM(C55:K55)</f>
        <v>9834000</v>
      </c>
    </row>
    <row r="56" spans="1:53" s="672" customFormat="1" ht="13.5" thickBot="1" x14ac:dyDescent="0.25">
      <c r="A56" s="1502"/>
      <c r="B56" s="1503" t="s">
        <v>350</v>
      </c>
      <c r="C56" s="1504">
        <f>C55</f>
        <v>9834000</v>
      </c>
      <c r="D56" s="1504"/>
      <c r="E56" s="1504"/>
      <c r="F56" s="1504"/>
      <c r="G56" s="1504"/>
      <c r="H56" s="1504"/>
      <c r="I56" s="1504"/>
      <c r="J56" s="1504"/>
      <c r="K56" s="1505"/>
      <c r="L56" s="1506">
        <f>SUM(C56:K56)</f>
        <v>9834000</v>
      </c>
      <c r="M56" s="653"/>
      <c r="N56" s="654"/>
      <c r="O56" s="654"/>
      <c r="P56" s="654"/>
      <c r="Q56" s="654"/>
      <c r="R56" s="654"/>
      <c r="S56" s="654"/>
      <c r="T56" s="654"/>
      <c r="U56" s="654"/>
      <c r="V56" s="654"/>
      <c r="W56" s="654"/>
      <c r="X56" s="654"/>
      <c r="Y56" s="654"/>
      <c r="Z56" s="654"/>
      <c r="AA56" s="654"/>
      <c r="AB56" s="654"/>
      <c r="AC56" s="654"/>
      <c r="AD56" s="654"/>
      <c r="AE56" s="654"/>
      <c r="AF56" s="654"/>
      <c r="AG56" s="654"/>
      <c r="AH56" s="654"/>
      <c r="AI56" s="654"/>
      <c r="AJ56" s="654"/>
      <c r="AK56" s="654"/>
      <c r="AL56" s="654"/>
      <c r="AM56" s="654"/>
      <c r="AN56" s="654"/>
      <c r="AO56" s="654"/>
      <c r="AP56" s="654"/>
      <c r="AQ56" s="654"/>
      <c r="AR56" s="654"/>
      <c r="AS56" s="654"/>
      <c r="AT56" s="654"/>
      <c r="AU56" s="654"/>
      <c r="AV56" s="654"/>
      <c r="AW56" s="654"/>
      <c r="AX56" s="654"/>
      <c r="AY56" s="654"/>
      <c r="AZ56" s="654"/>
      <c r="BA56" s="654"/>
    </row>
    <row r="57" spans="1:53" ht="15" customHeight="1" x14ac:dyDescent="0.2">
      <c r="A57" s="673" t="s">
        <v>261</v>
      </c>
      <c r="B57" s="674" t="s">
        <v>111</v>
      </c>
      <c r="C57" s="667"/>
      <c r="D57" s="667"/>
      <c r="E57" s="667"/>
      <c r="F57" s="667"/>
      <c r="G57" s="667"/>
      <c r="H57" s="667"/>
      <c r="I57" s="667"/>
      <c r="J57" s="667"/>
      <c r="K57" s="668"/>
      <c r="L57" s="1236"/>
    </row>
    <row r="58" spans="1:53" ht="15" customHeight="1" x14ac:dyDescent="0.2">
      <c r="A58" s="1237"/>
      <c r="B58" s="1238" t="s">
        <v>349</v>
      </c>
      <c r="C58" s="1231">
        <v>889000</v>
      </c>
      <c r="D58" s="1231"/>
      <c r="E58" s="1231"/>
      <c r="F58" s="1231"/>
      <c r="G58" s="1231"/>
      <c r="H58" s="1231"/>
      <c r="I58" s="1231"/>
      <c r="J58" s="1231"/>
      <c r="K58" s="1232"/>
      <c r="L58" s="1233">
        <f>SUM(C58:K58)</f>
        <v>889000</v>
      </c>
    </row>
    <row r="59" spans="1:53" s="672" customFormat="1" ht="13.5" thickBot="1" x14ac:dyDescent="0.25">
      <c r="A59" s="1502"/>
      <c r="B59" s="1503" t="s">
        <v>350</v>
      </c>
      <c r="C59" s="1504">
        <f>C58</f>
        <v>889000</v>
      </c>
      <c r="D59" s="1504"/>
      <c r="E59" s="1504"/>
      <c r="F59" s="1504"/>
      <c r="G59" s="1504"/>
      <c r="H59" s="1504"/>
      <c r="I59" s="1504"/>
      <c r="J59" s="1504"/>
      <c r="K59" s="1505"/>
      <c r="L59" s="1506">
        <f>SUM(C59:K59)</f>
        <v>889000</v>
      </c>
      <c r="M59" s="653"/>
      <c r="N59" s="654"/>
      <c r="O59" s="654"/>
      <c r="P59" s="654"/>
      <c r="Q59" s="654"/>
      <c r="R59" s="654"/>
      <c r="S59" s="654"/>
      <c r="T59" s="654"/>
      <c r="U59" s="654"/>
      <c r="V59" s="654"/>
      <c r="W59" s="654"/>
      <c r="X59" s="654"/>
      <c r="Y59" s="654"/>
      <c r="Z59" s="654"/>
      <c r="AA59" s="654"/>
      <c r="AB59" s="654"/>
      <c r="AC59" s="654"/>
      <c r="AD59" s="654"/>
      <c r="AE59" s="654"/>
      <c r="AF59" s="654"/>
      <c r="AG59" s="654"/>
      <c r="AH59" s="654"/>
      <c r="AI59" s="654"/>
      <c r="AJ59" s="654"/>
      <c r="AK59" s="654"/>
      <c r="AL59" s="654"/>
      <c r="AM59" s="654"/>
      <c r="AN59" s="654"/>
      <c r="AO59" s="654"/>
      <c r="AP59" s="654"/>
      <c r="AQ59" s="654"/>
      <c r="AR59" s="654"/>
      <c r="AS59" s="654"/>
      <c r="AT59" s="654"/>
      <c r="AU59" s="654"/>
      <c r="AV59" s="654"/>
      <c r="AW59" s="654"/>
      <c r="AX59" s="654"/>
      <c r="AY59" s="654"/>
      <c r="AZ59" s="654"/>
      <c r="BA59" s="654"/>
    </row>
    <row r="60" spans="1:53" ht="19.5" customHeight="1" x14ac:dyDescent="0.2">
      <c r="A60" s="681" t="s">
        <v>262</v>
      </c>
      <c r="B60" s="674" t="s">
        <v>409</v>
      </c>
      <c r="C60" s="667"/>
      <c r="D60" s="667"/>
      <c r="E60" s="667"/>
      <c r="F60" s="667"/>
      <c r="G60" s="667"/>
      <c r="H60" s="667"/>
      <c r="I60" s="667"/>
      <c r="J60" s="667"/>
      <c r="K60" s="668"/>
      <c r="L60" s="1236"/>
    </row>
    <row r="61" spans="1:53" x14ac:dyDescent="0.2">
      <c r="A61" s="682"/>
      <c r="B61" s="683" t="s">
        <v>349</v>
      </c>
      <c r="C61" s="670"/>
      <c r="D61" s="670"/>
      <c r="E61" s="670"/>
      <c r="F61" s="670"/>
      <c r="G61" s="670"/>
      <c r="H61" s="670"/>
      <c r="I61" s="670"/>
      <c r="J61" s="670"/>
      <c r="K61" s="671"/>
      <c r="L61" s="1244">
        <f>SUM(C61:K61)</f>
        <v>0</v>
      </c>
    </row>
    <row r="62" spans="1:53" s="672" customFormat="1" ht="13.5" thickBot="1" x14ac:dyDescent="0.25">
      <c r="A62" s="875"/>
      <c r="B62" s="1238" t="s">
        <v>350</v>
      </c>
      <c r="C62" s="1231"/>
      <c r="D62" s="1231"/>
      <c r="E62" s="1231"/>
      <c r="F62" s="1231"/>
      <c r="G62" s="1231"/>
      <c r="H62" s="1231"/>
      <c r="I62" s="1231"/>
      <c r="J62" s="1231"/>
      <c r="K62" s="1232"/>
      <c r="L62" s="1233">
        <f>SUM(C62:K62)</f>
        <v>0</v>
      </c>
      <c r="M62" s="653"/>
      <c r="N62" s="654"/>
      <c r="O62" s="654"/>
      <c r="P62" s="654"/>
      <c r="Q62" s="654"/>
      <c r="R62" s="654"/>
      <c r="S62" s="654"/>
      <c r="T62" s="654"/>
      <c r="U62" s="654"/>
      <c r="V62" s="654"/>
      <c r="W62" s="654"/>
      <c r="X62" s="654"/>
      <c r="Y62" s="654"/>
      <c r="Z62" s="654"/>
      <c r="AA62" s="654"/>
      <c r="AB62" s="654"/>
      <c r="AC62" s="654"/>
      <c r="AD62" s="654"/>
      <c r="AE62" s="654"/>
      <c r="AF62" s="654"/>
      <c r="AG62" s="654"/>
      <c r="AH62" s="654"/>
      <c r="AI62" s="654"/>
      <c r="AJ62" s="654"/>
      <c r="AK62" s="654"/>
      <c r="AL62" s="654"/>
      <c r="AM62" s="654"/>
      <c r="AN62" s="654"/>
      <c r="AO62" s="654"/>
      <c r="AP62" s="654"/>
      <c r="AQ62" s="654"/>
      <c r="AR62" s="654"/>
      <c r="AS62" s="654"/>
      <c r="AT62" s="654"/>
      <c r="AU62" s="654"/>
      <c r="AV62" s="654"/>
      <c r="AW62" s="654"/>
      <c r="AX62" s="654"/>
      <c r="AY62" s="654"/>
      <c r="AZ62" s="654"/>
      <c r="BA62" s="654"/>
    </row>
    <row r="63" spans="1:53" s="638" customFormat="1" ht="26.25" customHeight="1" x14ac:dyDescent="0.2">
      <c r="A63" s="684" t="s">
        <v>452</v>
      </c>
      <c r="B63" s="633" t="s">
        <v>453</v>
      </c>
      <c r="C63" s="634"/>
      <c r="D63" s="634"/>
      <c r="E63" s="634"/>
      <c r="F63" s="634"/>
      <c r="G63" s="634"/>
      <c r="H63" s="634"/>
      <c r="I63" s="634"/>
      <c r="J63" s="634"/>
      <c r="K63" s="685"/>
      <c r="L63" s="636"/>
      <c r="M63" s="637"/>
    </row>
    <row r="64" spans="1:53" s="638" customFormat="1" x14ac:dyDescent="0.2">
      <c r="A64" s="686"/>
      <c r="B64" s="687" t="s">
        <v>349</v>
      </c>
      <c r="C64" s="688"/>
      <c r="D64" s="688">
        <f>'5. sz.melléklet'!C7-'5. sz.melléklet'!C12</f>
        <v>675791000</v>
      </c>
      <c r="E64" s="688"/>
      <c r="F64" s="688"/>
      <c r="G64" s="688"/>
      <c r="H64" s="688"/>
      <c r="I64" s="688"/>
      <c r="J64" s="688"/>
      <c r="K64" s="689"/>
      <c r="L64" s="690">
        <f>SUM(C64:K64)</f>
        <v>675791000</v>
      </c>
      <c r="M64" s="637"/>
    </row>
    <row r="65" spans="1:53" s="638" customFormat="1" ht="13.5" thickBot="1" x14ac:dyDescent="0.25">
      <c r="A65" s="686"/>
      <c r="B65" s="687" t="s">
        <v>350</v>
      </c>
      <c r="C65" s="688"/>
      <c r="D65" s="688">
        <f>'5. sz.melléklet'!D7-D23</f>
        <v>650791000</v>
      </c>
      <c r="E65" s="688"/>
      <c r="F65" s="688"/>
      <c r="G65" s="688"/>
      <c r="H65" s="688"/>
      <c r="I65" s="688"/>
      <c r="J65" s="688"/>
      <c r="K65" s="689"/>
      <c r="L65" s="690">
        <f>SUM(C65:K65)</f>
        <v>650791000</v>
      </c>
      <c r="M65" s="637"/>
    </row>
    <row r="66" spans="1:53" s="695" customFormat="1" ht="21.75" customHeight="1" x14ac:dyDescent="0.2">
      <c r="A66" s="684" t="s">
        <v>272</v>
      </c>
      <c r="B66" s="633" t="s">
        <v>454</v>
      </c>
      <c r="C66" s="691"/>
      <c r="D66" s="691"/>
      <c r="E66" s="691"/>
      <c r="F66" s="691"/>
      <c r="G66" s="691"/>
      <c r="H66" s="691"/>
      <c r="I66" s="691"/>
      <c r="J66" s="691"/>
      <c r="K66" s="692"/>
      <c r="L66" s="693"/>
      <c r="M66" s="694"/>
    </row>
    <row r="67" spans="1:53" s="695" customFormat="1" x14ac:dyDescent="0.2">
      <c r="A67" s="1246"/>
      <c r="B67" s="687" t="s">
        <v>349</v>
      </c>
      <c r="C67" s="688"/>
      <c r="D67" s="688"/>
      <c r="E67" s="688"/>
      <c r="F67" s="688"/>
      <c r="G67" s="688"/>
      <c r="H67" s="688"/>
      <c r="I67" s="688"/>
      <c r="J67" s="688"/>
      <c r="K67" s="689">
        <v>300000000</v>
      </c>
      <c r="L67" s="690">
        <f>SUM(C67:K67)</f>
        <v>300000000</v>
      </c>
      <c r="M67" s="694"/>
    </row>
    <row r="68" spans="1:53" s="695" customFormat="1" ht="13.5" thickBot="1" x14ac:dyDescent="0.25">
      <c r="A68" s="1514"/>
      <c r="B68" s="989" t="s">
        <v>350</v>
      </c>
      <c r="C68" s="1234"/>
      <c r="D68" s="1234"/>
      <c r="E68" s="1234"/>
      <c r="F68" s="1234"/>
      <c r="G68" s="1234"/>
      <c r="H68" s="1234"/>
      <c r="I68" s="1234"/>
      <c r="J68" s="1234"/>
      <c r="K68" s="1245">
        <f>K67+65995335</f>
        <v>365995335</v>
      </c>
      <c r="L68" s="1239">
        <f>SUM(K68)</f>
        <v>365995335</v>
      </c>
      <c r="M68" s="694"/>
    </row>
    <row r="69" spans="1:53" s="700" customFormat="1" ht="21.75" customHeight="1" x14ac:dyDescent="0.15">
      <c r="A69" s="1513"/>
      <c r="B69" s="674" t="s">
        <v>94</v>
      </c>
      <c r="C69" s="696"/>
      <c r="D69" s="696"/>
      <c r="E69" s="696"/>
      <c r="F69" s="696"/>
      <c r="G69" s="696"/>
      <c r="H69" s="696"/>
      <c r="I69" s="696"/>
      <c r="J69" s="696"/>
      <c r="K69" s="697"/>
      <c r="L69" s="669"/>
      <c r="M69" s="698"/>
      <c r="N69" s="699"/>
    </row>
    <row r="70" spans="1:53" x14ac:dyDescent="0.2">
      <c r="A70" s="701"/>
      <c r="B70" s="702" t="s">
        <v>349</v>
      </c>
      <c r="C70" s="703">
        <f t="shared" ref="C70:L70" si="2">C10+C13+C16+C22+C28+C31+C34+C37+C40+C43+C46+C55+C58+C49+C7+C67+C64+C61+C19+C52+C25</f>
        <v>90217000</v>
      </c>
      <c r="D70" s="703">
        <f t="shared" si="2"/>
        <v>682291000</v>
      </c>
      <c r="E70" s="703">
        <f t="shared" si="2"/>
        <v>134971058</v>
      </c>
      <c r="F70" s="1250">
        <f t="shared" si="2"/>
        <v>44736000</v>
      </c>
      <c r="G70" s="703">
        <f t="shared" si="2"/>
        <v>174678258.55555555</v>
      </c>
      <c r="H70" s="1249">
        <f t="shared" si="2"/>
        <v>0</v>
      </c>
      <c r="I70" s="703">
        <f t="shared" si="2"/>
        <v>196528000</v>
      </c>
      <c r="J70" s="703">
        <f t="shared" si="2"/>
        <v>379000000</v>
      </c>
      <c r="K70" s="703">
        <f t="shared" si="2"/>
        <v>300000000</v>
      </c>
      <c r="L70" s="1251">
        <f t="shared" si="2"/>
        <v>2002421316.5555556</v>
      </c>
      <c r="N70" s="704"/>
    </row>
    <row r="71" spans="1:53" s="672" customFormat="1" ht="13.5" thickBot="1" x14ac:dyDescent="0.25">
      <c r="A71" s="705"/>
      <c r="B71" s="1515" t="s">
        <v>350</v>
      </c>
      <c r="C71" s="706">
        <f>C8+C11+C14+C17+C20+C23+C26+C29+C32+C35+C38+C41+C44+C47+C50+C53+C56+C59+C62+C65+C68</f>
        <v>90217000</v>
      </c>
      <c r="D71" s="706">
        <f t="shared" ref="D71:K71" si="3">D8+D11+D14+D17+D20+D23+D26+D29+D32+D35+D38+D41+D44+D47+D50+D53+D56+D59+D62+D65+D68</f>
        <v>657291000</v>
      </c>
      <c r="E71" s="706">
        <f t="shared" si="3"/>
        <v>136755752</v>
      </c>
      <c r="F71" s="706">
        <f t="shared" si="3"/>
        <v>44736000</v>
      </c>
      <c r="G71" s="706">
        <f t="shared" si="3"/>
        <v>174678258.55555555</v>
      </c>
      <c r="H71" s="706">
        <f t="shared" si="3"/>
        <v>0</v>
      </c>
      <c r="I71" s="706">
        <f t="shared" si="3"/>
        <v>196528000</v>
      </c>
      <c r="J71" s="706">
        <f t="shared" si="3"/>
        <v>379000000</v>
      </c>
      <c r="K71" s="706">
        <f t="shared" si="3"/>
        <v>393178204</v>
      </c>
      <c r="L71" s="706">
        <f>L8+L11+L14+L17+L20+L23+L26+L29+L32+L35+L38+L41+L44+L47+L50+L53+L56+L59+L62+L65+L68</f>
        <v>2072384214.5555556</v>
      </c>
      <c r="M71" s="1248"/>
      <c r="N71" s="704">
        <f>SUM(C71:K71)</f>
        <v>2072384214.5555556</v>
      </c>
      <c r="O71" s="654">
        <v>1642801</v>
      </c>
      <c r="P71" s="654"/>
      <c r="Q71" s="654"/>
      <c r="R71" s="654"/>
      <c r="S71" s="654"/>
      <c r="T71" s="654"/>
      <c r="U71" s="654"/>
      <c r="V71" s="654"/>
      <c r="W71" s="654"/>
      <c r="X71" s="654"/>
      <c r="Y71" s="654"/>
      <c r="Z71" s="654"/>
      <c r="AA71" s="654"/>
      <c r="AB71" s="654"/>
      <c r="AC71" s="654"/>
      <c r="AD71" s="654"/>
      <c r="AE71" s="654"/>
      <c r="AF71" s="654"/>
      <c r="AG71" s="654"/>
      <c r="AH71" s="654"/>
      <c r="AI71" s="654"/>
      <c r="AJ71" s="654"/>
      <c r="AK71" s="654"/>
      <c r="AL71" s="654"/>
      <c r="AM71" s="654"/>
      <c r="AN71" s="654"/>
      <c r="AO71" s="654"/>
      <c r="AP71" s="654"/>
      <c r="AQ71" s="654"/>
      <c r="AR71" s="654"/>
      <c r="AS71" s="654"/>
      <c r="AT71" s="654"/>
      <c r="AU71" s="654"/>
      <c r="AV71" s="654"/>
      <c r="AW71" s="654"/>
      <c r="AX71" s="654"/>
      <c r="AY71" s="654"/>
      <c r="AZ71" s="654"/>
      <c r="BA71" s="654"/>
    </row>
    <row r="72" spans="1:53" x14ac:dyDescent="0.2">
      <c r="B72" s="708"/>
      <c r="C72" s="709"/>
      <c r="D72" s="709"/>
      <c r="E72" s="709"/>
      <c r="F72" s="709"/>
      <c r="G72" s="709"/>
      <c r="H72" s="709"/>
      <c r="I72" s="709"/>
      <c r="J72" s="709"/>
      <c r="K72" s="709"/>
      <c r="M72" s="654"/>
    </row>
    <row r="73" spans="1:53" ht="15" customHeight="1" x14ac:dyDescent="0.2">
      <c r="A73" s="710"/>
      <c r="B73" s="711"/>
      <c r="C73" s="712"/>
      <c r="D73" s="712"/>
      <c r="E73" s="712"/>
      <c r="F73" s="712"/>
      <c r="G73" s="712"/>
      <c r="H73" s="712"/>
      <c r="I73" s="712"/>
      <c r="J73" s="712"/>
      <c r="K73" s="712"/>
      <c r="M73" s="654"/>
    </row>
    <row r="74" spans="1:53" x14ac:dyDescent="0.2">
      <c r="A74" s="713"/>
      <c r="B74" s="709"/>
      <c r="C74" s="709"/>
      <c r="D74" s="709"/>
      <c r="E74" s="709"/>
      <c r="F74" s="709"/>
      <c r="G74" s="709"/>
      <c r="H74" s="709"/>
      <c r="I74" s="709"/>
      <c r="J74" s="709"/>
      <c r="K74" s="709"/>
      <c r="M74" s="654"/>
    </row>
    <row r="75" spans="1:53" x14ac:dyDescent="0.2">
      <c r="B75" s="709"/>
      <c r="C75" s="709"/>
      <c r="D75" s="709"/>
      <c r="E75" s="709"/>
      <c r="F75" s="709"/>
      <c r="G75" s="709"/>
      <c r="H75" s="709"/>
      <c r="I75" s="709"/>
      <c r="J75" s="709"/>
      <c r="K75" s="709"/>
      <c r="M75" s="654"/>
    </row>
    <row r="76" spans="1:53" x14ac:dyDescent="0.2">
      <c r="A76" s="714"/>
      <c r="B76" s="711"/>
      <c r="C76" s="711"/>
      <c r="D76" s="711"/>
      <c r="E76" s="711"/>
      <c r="F76" s="711"/>
      <c r="G76" s="711"/>
      <c r="H76" s="711"/>
      <c r="I76" s="711"/>
      <c r="J76" s="711"/>
      <c r="K76" s="711"/>
      <c r="M76" s="654"/>
    </row>
    <row r="77" spans="1:53" x14ac:dyDescent="0.2">
      <c r="A77" s="713"/>
      <c r="B77" s="709"/>
      <c r="C77" s="709"/>
      <c r="D77" s="709"/>
      <c r="E77" s="709"/>
      <c r="F77" s="709"/>
      <c r="G77" s="709"/>
      <c r="H77" s="709"/>
      <c r="I77" s="709"/>
      <c r="J77" s="709"/>
      <c r="K77" s="709"/>
      <c r="M77" s="654"/>
    </row>
    <row r="78" spans="1:53" x14ac:dyDescent="0.2">
      <c r="A78" s="713"/>
      <c r="B78" s="709"/>
      <c r="C78" s="709"/>
      <c r="D78" s="709"/>
      <c r="E78" s="709"/>
      <c r="F78" s="709"/>
      <c r="G78" s="709"/>
      <c r="H78" s="709"/>
      <c r="I78" s="709"/>
      <c r="J78" s="709"/>
      <c r="K78" s="709"/>
      <c r="M78" s="654"/>
    </row>
    <row r="79" spans="1:53" x14ac:dyDescent="0.2">
      <c r="B79" s="709"/>
      <c r="C79" s="709"/>
      <c r="D79" s="709"/>
      <c r="E79" s="709"/>
      <c r="F79" s="709"/>
      <c r="G79" s="709"/>
      <c r="H79" s="709"/>
      <c r="I79" s="709"/>
      <c r="J79" s="709"/>
      <c r="K79" s="709"/>
      <c r="M79" s="654"/>
    </row>
    <row r="80" spans="1:53" x14ac:dyDescent="0.2">
      <c r="A80" s="714"/>
      <c r="B80" s="711"/>
      <c r="C80" s="712"/>
      <c r="D80" s="712"/>
      <c r="E80" s="712"/>
      <c r="F80" s="712"/>
      <c r="G80" s="712"/>
      <c r="H80" s="712"/>
      <c r="I80" s="712"/>
      <c r="J80" s="712"/>
      <c r="K80" s="712"/>
      <c r="M80" s="654"/>
    </row>
    <row r="81" spans="1:13" x14ac:dyDescent="0.2">
      <c r="B81" s="709"/>
      <c r="C81" s="709"/>
      <c r="D81" s="709"/>
      <c r="E81" s="709"/>
      <c r="F81" s="709"/>
      <c r="G81" s="709"/>
      <c r="H81" s="709"/>
      <c r="I81" s="709"/>
      <c r="J81" s="709"/>
      <c r="K81" s="709"/>
      <c r="M81" s="654"/>
    </row>
    <row r="82" spans="1:13" x14ac:dyDescent="0.2">
      <c r="B82" s="709"/>
      <c r="C82" s="709"/>
      <c r="D82" s="709"/>
      <c r="E82" s="709"/>
      <c r="F82" s="709"/>
      <c r="G82" s="709"/>
      <c r="H82" s="709"/>
      <c r="I82" s="709"/>
      <c r="J82" s="709"/>
      <c r="K82" s="709"/>
      <c r="M82" s="654"/>
    </row>
    <row r="83" spans="1:13" x14ac:dyDescent="0.2">
      <c r="B83" s="709"/>
      <c r="C83" s="709"/>
      <c r="D83" s="709"/>
      <c r="E83" s="709"/>
      <c r="F83" s="709"/>
      <c r="G83" s="709"/>
      <c r="H83" s="709"/>
      <c r="I83" s="709"/>
      <c r="J83" s="709"/>
      <c r="K83" s="709"/>
      <c r="M83" s="654"/>
    </row>
    <row r="84" spans="1:13" x14ac:dyDescent="0.2">
      <c r="A84" s="714"/>
      <c r="B84" s="711"/>
      <c r="C84" s="711"/>
      <c r="D84" s="711"/>
      <c r="E84" s="711"/>
      <c r="F84" s="711"/>
      <c r="G84" s="711"/>
      <c r="H84" s="711"/>
      <c r="I84" s="711"/>
      <c r="J84" s="711"/>
      <c r="K84" s="711"/>
      <c r="M84" s="654"/>
    </row>
    <row r="85" spans="1:13" x14ac:dyDescent="0.2">
      <c r="B85" s="709"/>
      <c r="C85" s="709"/>
      <c r="D85" s="709"/>
      <c r="E85" s="709"/>
      <c r="F85" s="709"/>
      <c r="G85" s="709"/>
      <c r="H85" s="709"/>
      <c r="I85" s="709"/>
      <c r="J85" s="709"/>
      <c r="K85" s="709"/>
      <c r="M85" s="654"/>
    </row>
    <row r="86" spans="1:13" x14ac:dyDescent="0.2">
      <c r="B86" s="709"/>
      <c r="C86" s="709"/>
      <c r="D86" s="709"/>
      <c r="E86" s="709"/>
      <c r="F86" s="709"/>
      <c r="G86" s="709"/>
      <c r="H86" s="709"/>
      <c r="I86" s="709"/>
      <c r="J86" s="709"/>
      <c r="K86" s="709"/>
      <c r="M86" s="654"/>
    </row>
    <row r="87" spans="1:13" x14ac:dyDescent="0.2">
      <c r="A87" s="714"/>
      <c r="B87" s="712"/>
      <c r="C87" s="712"/>
      <c r="D87" s="712"/>
      <c r="E87" s="712"/>
      <c r="F87" s="712"/>
      <c r="G87" s="712"/>
      <c r="H87" s="712"/>
      <c r="I87" s="712"/>
      <c r="J87" s="712"/>
      <c r="K87" s="712"/>
      <c r="M87" s="654"/>
    </row>
    <row r="88" spans="1:13" x14ac:dyDescent="0.2">
      <c r="M88" s="654"/>
    </row>
    <row r="89" spans="1:13" x14ac:dyDescent="0.2">
      <c r="M89" s="654"/>
    </row>
    <row r="90" spans="1:13" x14ac:dyDescent="0.2">
      <c r="M90" s="654"/>
    </row>
    <row r="91" spans="1:13" x14ac:dyDescent="0.2">
      <c r="M91" s="654"/>
    </row>
    <row r="92" spans="1:13" x14ac:dyDescent="0.2">
      <c r="M92" s="654"/>
    </row>
    <row r="93" spans="1:13" x14ac:dyDescent="0.2">
      <c r="M93" s="654"/>
    </row>
    <row r="94" spans="1:13" x14ac:dyDescent="0.2">
      <c r="M94" s="654"/>
    </row>
    <row r="95" spans="1:13" x14ac:dyDescent="0.2">
      <c r="M95" s="654"/>
    </row>
    <row r="96" spans="1:13" x14ac:dyDescent="0.2">
      <c r="M96" s="654"/>
    </row>
    <row r="97" spans="13:13" x14ac:dyDescent="0.2">
      <c r="M97" s="654"/>
    </row>
    <row r="98" spans="13:13" x14ac:dyDescent="0.2">
      <c r="M98" s="654"/>
    </row>
    <row r="99" spans="13:13" x14ac:dyDescent="0.2">
      <c r="M99" s="654"/>
    </row>
    <row r="100" spans="13:13" x14ac:dyDescent="0.2">
      <c r="M100" s="654"/>
    </row>
    <row r="101" spans="13:13" x14ac:dyDescent="0.2">
      <c r="M101" s="654"/>
    </row>
    <row r="102" spans="13:13" x14ac:dyDescent="0.2">
      <c r="M102" s="654"/>
    </row>
    <row r="103" spans="13:13" x14ac:dyDescent="0.2">
      <c r="M103" s="654"/>
    </row>
    <row r="104" spans="13:13" x14ac:dyDescent="0.2">
      <c r="M104" s="654"/>
    </row>
    <row r="105" spans="13:13" x14ac:dyDescent="0.2">
      <c r="M105" s="654"/>
    </row>
    <row r="106" spans="13:13" x14ac:dyDescent="0.2">
      <c r="M106" s="654"/>
    </row>
    <row r="107" spans="13:13" x14ac:dyDescent="0.2">
      <c r="M107" s="654"/>
    </row>
    <row r="108" spans="13:13" x14ac:dyDescent="0.2">
      <c r="M108" s="654"/>
    </row>
    <row r="109" spans="13:13" x14ac:dyDescent="0.2">
      <c r="M109" s="654"/>
    </row>
    <row r="110" spans="13:13" x14ac:dyDescent="0.2">
      <c r="M110" s="654"/>
    </row>
    <row r="111" spans="13:13" x14ac:dyDescent="0.2">
      <c r="M111" s="654"/>
    </row>
    <row r="112" spans="13:13" x14ac:dyDescent="0.2">
      <c r="M112" s="654"/>
    </row>
    <row r="113" spans="13:13" x14ac:dyDescent="0.2">
      <c r="M113" s="654"/>
    </row>
    <row r="114" spans="13:13" x14ac:dyDescent="0.2">
      <c r="M114" s="654"/>
    </row>
    <row r="115" spans="13:13" x14ac:dyDescent="0.2">
      <c r="M115" s="654"/>
    </row>
    <row r="116" spans="13:13" x14ac:dyDescent="0.2">
      <c r="M116" s="654"/>
    </row>
    <row r="117" spans="13:13" x14ac:dyDescent="0.2">
      <c r="M117" s="654"/>
    </row>
    <row r="118" spans="13:13" x14ac:dyDescent="0.2">
      <c r="M118" s="654"/>
    </row>
    <row r="119" spans="13:13" x14ac:dyDescent="0.2">
      <c r="M119" s="654"/>
    </row>
    <row r="120" spans="13:13" x14ac:dyDescent="0.2">
      <c r="M120" s="654"/>
    </row>
    <row r="121" spans="13:13" x14ac:dyDescent="0.2">
      <c r="M121" s="654"/>
    </row>
    <row r="122" spans="13:13" x14ac:dyDescent="0.2">
      <c r="M122" s="654"/>
    </row>
    <row r="123" spans="13:13" x14ac:dyDescent="0.2">
      <c r="M123" s="654"/>
    </row>
    <row r="124" spans="13:13" x14ac:dyDescent="0.2">
      <c r="M124" s="654"/>
    </row>
    <row r="125" spans="13:13" x14ac:dyDescent="0.2">
      <c r="M125" s="654"/>
    </row>
    <row r="126" spans="13:13" x14ac:dyDescent="0.2">
      <c r="M126" s="654"/>
    </row>
    <row r="127" spans="13:13" x14ac:dyDescent="0.2">
      <c r="M127" s="654"/>
    </row>
    <row r="128" spans="13:13" x14ac:dyDescent="0.2">
      <c r="M128" s="654"/>
    </row>
    <row r="129" spans="13:13" x14ac:dyDescent="0.2">
      <c r="M129" s="654"/>
    </row>
    <row r="130" spans="13:13" x14ac:dyDescent="0.2">
      <c r="M130" s="654"/>
    </row>
    <row r="131" spans="13:13" x14ac:dyDescent="0.2">
      <c r="M131" s="654"/>
    </row>
  </sheetData>
  <mergeCells count="1">
    <mergeCell ref="A1:L1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27" orientation="landscape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5">
    <pageSetUpPr fitToPage="1"/>
  </sheetPr>
  <dimension ref="A1:H35"/>
  <sheetViews>
    <sheetView workbookViewId="0">
      <selection activeCell="H43" sqref="H43"/>
    </sheetView>
  </sheetViews>
  <sheetFormatPr defaultColWidth="29.28515625" defaultRowHeight="12.75" x14ac:dyDescent="0.2"/>
  <cols>
    <col min="1" max="1" width="1.140625" style="24" customWidth="1"/>
    <col min="2" max="2" width="0.7109375" style="24" customWidth="1"/>
    <col min="3" max="3" width="42.5703125" style="24" customWidth="1"/>
    <col min="4" max="4" width="27.140625" style="24" customWidth="1"/>
    <col min="5" max="5" width="24" style="24" customWidth="1"/>
    <col min="6" max="6" width="13.42578125" style="24" customWidth="1"/>
    <col min="7" max="7" width="21.85546875" style="24" customWidth="1"/>
    <col min="8" max="8" width="22.140625" style="24" customWidth="1"/>
    <col min="9" max="16384" width="29.28515625" style="24"/>
  </cols>
  <sheetData>
    <row r="1" spans="1:8" x14ac:dyDescent="0.2">
      <c r="A1" s="103"/>
      <c r="B1" s="103"/>
      <c r="C1" s="103"/>
      <c r="D1" s="103"/>
      <c r="E1" s="103"/>
      <c r="F1" s="103"/>
      <c r="G1" s="103"/>
    </row>
    <row r="2" spans="1:8" x14ac:dyDescent="0.2">
      <c r="A2" s="103"/>
      <c r="B2" s="103"/>
      <c r="C2" s="103"/>
      <c r="D2" s="103"/>
      <c r="E2" s="103"/>
      <c r="F2" s="103"/>
      <c r="G2" s="103"/>
    </row>
    <row r="3" spans="1:8" ht="13.5" thickBot="1" x14ac:dyDescent="0.25">
      <c r="A3" s="103"/>
      <c r="B3" s="103"/>
      <c r="C3" s="103"/>
      <c r="D3" s="103"/>
      <c r="E3" s="103"/>
      <c r="F3" s="103"/>
      <c r="G3" s="103"/>
    </row>
    <row r="4" spans="1:8" s="10" customFormat="1" ht="31.5" customHeight="1" thickBot="1" x14ac:dyDescent="0.3">
      <c r="A4" s="2045" t="s">
        <v>565</v>
      </c>
      <c r="B4" s="2046"/>
      <c r="C4" s="2046"/>
      <c r="D4" s="2046"/>
      <c r="E4" s="2047"/>
      <c r="F4" s="327"/>
      <c r="G4" s="104"/>
    </row>
    <row r="5" spans="1:8" s="10" customFormat="1" ht="3" customHeight="1" x14ac:dyDescent="0.25">
      <c r="A5" s="133"/>
      <c r="B5" s="1125"/>
      <c r="C5" s="1126"/>
      <c r="D5" s="1127"/>
      <c r="E5" s="1783"/>
      <c r="F5" s="105"/>
      <c r="G5" s="104"/>
    </row>
    <row r="6" spans="1:8" ht="3" customHeight="1" x14ac:dyDescent="0.2">
      <c r="A6" s="134"/>
      <c r="B6" s="1128"/>
      <c r="C6" s="1129" t="s">
        <v>25</v>
      </c>
      <c r="D6" s="1128"/>
      <c r="E6" s="1784"/>
      <c r="F6" s="106"/>
      <c r="G6" s="103"/>
    </row>
    <row r="7" spans="1:8" ht="3" customHeight="1" x14ac:dyDescent="0.2">
      <c r="A7" s="134"/>
      <c r="B7" s="1128"/>
      <c r="C7" s="1129"/>
      <c r="D7" s="1130"/>
      <c r="E7" s="1785"/>
      <c r="F7" s="106"/>
      <c r="G7" s="103"/>
    </row>
    <row r="8" spans="1:8" ht="3" customHeight="1" x14ac:dyDescent="0.2">
      <c r="A8" s="134"/>
      <c r="B8" s="1128"/>
      <c r="C8" s="1130" t="s">
        <v>141</v>
      </c>
      <c r="D8" s="1131"/>
      <c r="E8" s="1786"/>
      <c r="F8" s="106"/>
      <c r="G8" s="103"/>
    </row>
    <row r="9" spans="1:8" ht="3" customHeight="1" x14ac:dyDescent="0.2">
      <c r="A9" s="134"/>
      <c r="B9" s="1128"/>
      <c r="C9" s="1128"/>
      <c r="D9" s="1132"/>
      <c r="E9" s="1787"/>
      <c r="F9" s="106"/>
      <c r="G9" s="103"/>
    </row>
    <row r="10" spans="1:8" ht="3" customHeight="1" x14ac:dyDescent="0.2">
      <c r="A10" s="134"/>
      <c r="B10" s="1128"/>
      <c r="C10" s="1128"/>
      <c r="D10" s="1132"/>
      <c r="E10" s="1787"/>
      <c r="F10" s="106"/>
      <c r="G10" s="103"/>
    </row>
    <row r="11" spans="1:8" ht="28.5" customHeight="1" thickBot="1" x14ac:dyDescent="0.25">
      <c r="A11" s="134"/>
      <c r="B11" s="1128"/>
      <c r="C11" s="1128"/>
      <c r="D11" s="1133" t="s">
        <v>353</v>
      </c>
      <c r="E11" s="1788" t="s">
        <v>355</v>
      </c>
      <c r="F11" s="328"/>
      <c r="G11" s="109"/>
    </row>
    <row r="12" spans="1:8" s="75" customFormat="1" ht="18.75" x14ac:dyDescent="0.3">
      <c r="A12" s="135"/>
      <c r="B12" s="1134"/>
      <c r="C12" s="136" t="s">
        <v>217</v>
      </c>
      <c r="D12" s="1142"/>
      <c r="E12" s="1789"/>
      <c r="F12" s="329"/>
      <c r="G12" s="107"/>
    </row>
    <row r="13" spans="1:8" ht="0.75" customHeight="1" x14ac:dyDescent="0.25">
      <c r="A13" s="134"/>
      <c r="B13" s="1128"/>
      <c r="C13" s="137"/>
      <c r="D13" s="1135"/>
      <c r="E13" s="1790"/>
      <c r="F13" s="330"/>
      <c r="G13" s="104"/>
    </row>
    <row r="14" spans="1:8" x14ac:dyDescent="0.2">
      <c r="A14" s="134"/>
      <c r="B14" s="1128"/>
      <c r="C14" s="138" t="s">
        <v>218</v>
      </c>
      <c r="D14" s="331"/>
      <c r="E14" s="1147">
        <f>SUM(D14)</f>
        <v>0</v>
      </c>
      <c r="F14" s="1780"/>
      <c r="G14" s="77"/>
      <c r="H14" s="77"/>
    </row>
    <row r="15" spans="1:8" x14ac:dyDescent="0.2">
      <c r="A15" s="134"/>
      <c r="B15" s="1128"/>
      <c r="C15" s="138" t="s">
        <v>155</v>
      </c>
      <c r="D15" s="331">
        <f>65135350+24000000</f>
        <v>89135350</v>
      </c>
      <c r="E15" s="1147">
        <f>D15</f>
        <v>89135350</v>
      </c>
      <c r="F15" s="1780"/>
      <c r="G15" s="77"/>
      <c r="H15" s="77"/>
    </row>
    <row r="16" spans="1:8" x14ac:dyDescent="0.2">
      <c r="A16" s="134"/>
      <c r="B16" s="1128"/>
      <c r="C16" s="138" t="s">
        <v>156</v>
      </c>
      <c r="D16" s="331">
        <v>16431380</v>
      </c>
      <c r="E16" s="1147">
        <f t="shared" ref="E16:E19" si="0">D16</f>
        <v>16431380</v>
      </c>
      <c r="F16" s="1780"/>
      <c r="G16" s="77"/>
      <c r="H16" s="77"/>
    </row>
    <row r="17" spans="1:8" x14ac:dyDescent="0.2">
      <c r="A17" s="134"/>
      <c r="B17" s="1128"/>
      <c r="C17" s="221" t="s">
        <v>157</v>
      </c>
      <c r="D17" s="575">
        <f>22298515-D18</f>
        <v>22276000</v>
      </c>
      <c r="E17" s="1147">
        <f t="shared" si="0"/>
        <v>22276000</v>
      </c>
      <c r="F17" s="1780"/>
      <c r="G17" s="77"/>
      <c r="H17" s="77"/>
    </row>
    <row r="18" spans="1:8" x14ac:dyDescent="0.2">
      <c r="A18" s="134"/>
      <c r="B18" s="1128"/>
      <c r="C18" s="221" t="s">
        <v>460</v>
      </c>
      <c r="D18" s="575">
        <v>22515</v>
      </c>
      <c r="E18" s="1147">
        <f t="shared" si="0"/>
        <v>22515</v>
      </c>
      <c r="F18" s="1780"/>
      <c r="G18" s="77"/>
      <c r="H18" s="77"/>
    </row>
    <row r="19" spans="1:8" x14ac:dyDescent="0.2">
      <c r="A19" s="134"/>
      <c r="B19" s="1128"/>
      <c r="C19" s="221" t="s">
        <v>385</v>
      </c>
      <c r="D19" s="575">
        <v>396700</v>
      </c>
      <c r="E19" s="1147">
        <f t="shared" si="0"/>
        <v>396700</v>
      </c>
      <c r="F19" s="1780"/>
      <c r="G19" s="77"/>
      <c r="H19" s="77"/>
    </row>
    <row r="20" spans="1:8" x14ac:dyDescent="0.2">
      <c r="A20" s="134"/>
      <c r="B20" s="1128"/>
      <c r="C20" s="221" t="s">
        <v>158</v>
      </c>
      <c r="D20" s="575">
        <v>6709113</v>
      </c>
      <c r="E20" s="1147">
        <f>D20+698903</f>
        <v>7408016</v>
      </c>
      <c r="F20" s="1781"/>
      <c r="G20" s="77"/>
      <c r="H20" s="77"/>
    </row>
    <row r="21" spans="1:8" x14ac:dyDescent="0.2">
      <c r="A21" s="134"/>
      <c r="B21" s="1128"/>
      <c r="C21" s="221" t="s">
        <v>455</v>
      </c>
      <c r="D21" s="575"/>
      <c r="E21" s="1147">
        <v>944000</v>
      </c>
      <c r="F21" s="1781"/>
      <c r="G21" s="77"/>
      <c r="H21" s="77"/>
    </row>
    <row r="22" spans="1:8" x14ac:dyDescent="0.2">
      <c r="A22" s="134"/>
      <c r="B22" s="1128"/>
      <c r="C22" s="138" t="s">
        <v>647</v>
      </c>
      <c r="D22" s="331"/>
      <c r="E22" s="1147">
        <v>141791</v>
      </c>
      <c r="F22" s="1781"/>
      <c r="G22" s="77"/>
      <c r="H22" s="77"/>
    </row>
    <row r="23" spans="1:8" ht="13.5" thickBot="1" x14ac:dyDescent="0.25">
      <c r="A23" s="134"/>
      <c r="B23" s="1128"/>
      <c r="C23" s="139"/>
      <c r="D23" s="332"/>
      <c r="E23" s="1148"/>
      <c r="F23" s="1781"/>
      <c r="G23" s="77"/>
      <c r="H23" s="77"/>
    </row>
    <row r="24" spans="1:8" ht="15.75" thickBot="1" x14ac:dyDescent="0.3">
      <c r="A24" s="134"/>
      <c r="B24" s="1128"/>
      <c r="C24" s="1136"/>
      <c r="D24" s="1137">
        <f>SUM(D14:D23)</f>
        <v>134971058</v>
      </c>
      <c r="E24" s="1791">
        <f>SUM(E14:E23)</f>
        <v>136755752</v>
      </c>
      <c r="F24" s="1781"/>
      <c r="G24" s="77"/>
      <c r="H24" s="77"/>
    </row>
    <row r="25" spans="1:8" ht="15.75" x14ac:dyDescent="0.25">
      <c r="A25" s="134"/>
      <c r="B25" s="1128"/>
      <c r="C25" s="140" t="s">
        <v>390</v>
      </c>
      <c r="D25" s="1143"/>
      <c r="E25" s="1792">
        <f>SUM(E26)</f>
        <v>0</v>
      </c>
      <c r="F25" s="1782"/>
      <c r="G25" s="108"/>
      <c r="H25" s="335"/>
    </row>
    <row r="26" spans="1:8" ht="15" thickBot="1" x14ac:dyDescent="0.25">
      <c r="A26" s="134"/>
      <c r="B26" s="1128"/>
      <c r="C26" s="139" t="s">
        <v>535</v>
      </c>
      <c r="D26" s="332"/>
      <c r="E26" s="1148"/>
      <c r="F26" s="108"/>
      <c r="G26" s="108"/>
    </row>
    <row r="27" spans="1:8" ht="15" thickBot="1" x14ac:dyDescent="0.25">
      <c r="A27" s="134"/>
      <c r="B27" s="1128"/>
      <c r="C27" s="333"/>
      <c r="D27" s="334"/>
      <c r="E27" s="1793"/>
      <c r="F27" s="108"/>
      <c r="G27" s="108"/>
    </row>
    <row r="28" spans="1:8" ht="15.75" x14ac:dyDescent="0.25">
      <c r="A28" s="134"/>
      <c r="B28" s="1128"/>
      <c r="C28" s="425" t="s">
        <v>418</v>
      </c>
      <c r="D28" s="1144"/>
      <c r="E28" s="1149"/>
      <c r="F28" s="108"/>
      <c r="G28" s="108"/>
    </row>
    <row r="29" spans="1:8" ht="15" thickBot="1" x14ac:dyDescent="0.25">
      <c r="A29" s="134"/>
      <c r="B29" s="1128"/>
      <c r="C29" s="424"/>
      <c r="D29" s="1145"/>
      <c r="E29" s="1148"/>
      <c r="F29" s="108"/>
      <c r="G29" s="108"/>
    </row>
    <row r="30" spans="1:8" ht="15" thickBot="1" x14ac:dyDescent="0.25">
      <c r="A30" s="134"/>
      <c r="B30" s="1128"/>
      <c r="C30" s="422"/>
      <c r="D30" s="423"/>
      <c r="E30" s="1794"/>
      <c r="F30" s="108"/>
      <c r="G30" s="108"/>
    </row>
    <row r="31" spans="1:8" ht="15.75" x14ac:dyDescent="0.25">
      <c r="A31" s="134"/>
      <c r="B31" s="1128"/>
      <c r="C31" s="420" t="s">
        <v>373</v>
      </c>
      <c r="D31" s="1144"/>
      <c r="E31" s="1149"/>
      <c r="F31" s="108"/>
      <c r="G31" s="108"/>
    </row>
    <row r="32" spans="1:8" ht="16.5" thickBot="1" x14ac:dyDescent="0.3">
      <c r="A32" s="134"/>
      <c r="B32" s="1128"/>
      <c r="C32" s="421"/>
      <c r="D32" s="1146"/>
      <c r="E32" s="1795"/>
      <c r="F32" s="108"/>
      <c r="G32" s="108"/>
    </row>
    <row r="33" spans="1:7" ht="16.5" thickBot="1" x14ac:dyDescent="0.3">
      <c r="A33" s="134"/>
      <c r="B33" s="1138"/>
      <c r="C33" s="143"/>
      <c r="D33" s="182"/>
      <c r="E33" s="1796"/>
      <c r="F33" s="330"/>
      <c r="G33" s="108"/>
    </row>
    <row r="34" spans="1:7" s="76" customFormat="1" ht="19.5" thickBot="1" x14ac:dyDescent="0.35">
      <c r="A34" s="141" t="s">
        <v>54</v>
      </c>
      <c r="B34" s="142"/>
      <c r="C34" s="333"/>
      <c r="D34" s="182">
        <f>SUM(D24)</f>
        <v>134971058</v>
      </c>
      <c r="E34" s="1796">
        <f>SUM(E24+E26)</f>
        <v>136755752</v>
      </c>
      <c r="F34" s="576"/>
      <c r="G34" s="106"/>
    </row>
    <row r="35" spans="1:7" ht="19.5" thickBot="1" x14ac:dyDescent="0.35">
      <c r="A35" s="1139"/>
      <c r="B35" s="1140"/>
      <c r="C35" s="1141"/>
      <c r="D35" s="1141"/>
      <c r="E35" s="1797"/>
      <c r="F35" s="103"/>
      <c r="G35" s="110"/>
    </row>
  </sheetData>
  <mergeCells count="1">
    <mergeCell ref="A4:E4"/>
  </mergeCells>
  <phoneticPr fontId="3" type="noConversion"/>
  <pageMargins left="0.61" right="0.34" top="0.61" bottom="0.54" header="0.85" footer="0.47"/>
  <pageSetup paperSize="9" orientation="portrait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7">
    <pageSetUpPr fitToPage="1"/>
  </sheetPr>
  <dimension ref="A1:AQ918"/>
  <sheetViews>
    <sheetView workbookViewId="0">
      <selection activeCell="M19" sqref="M19"/>
    </sheetView>
  </sheetViews>
  <sheetFormatPr defaultColWidth="9.140625" defaultRowHeight="12.75" x14ac:dyDescent="0.2"/>
  <cols>
    <col min="1" max="1" width="7.5703125" style="604" customWidth="1"/>
    <col min="2" max="2" width="22.140625" style="6" customWidth="1"/>
    <col min="3" max="4" width="11.85546875" style="127" bestFit="1" customWidth="1"/>
    <col min="5" max="5" width="12.85546875" style="127" bestFit="1" customWidth="1"/>
    <col min="6" max="6" width="11.85546875" style="127" bestFit="1" customWidth="1"/>
    <col min="7" max="9" width="12.85546875" style="127" bestFit="1" customWidth="1"/>
    <col min="10" max="12" width="11.85546875" style="127" bestFit="1" customWidth="1"/>
    <col min="13" max="13" width="12.85546875" style="127" bestFit="1" customWidth="1"/>
    <col min="14" max="14" width="14.42578125" style="127" bestFit="1" customWidth="1"/>
    <col min="15" max="15" width="14.28515625" style="450" bestFit="1" customWidth="1"/>
    <col min="16" max="16" width="14.28515625" style="127" bestFit="1" customWidth="1"/>
    <col min="17" max="18" width="9.140625" style="127"/>
    <col min="19" max="16384" width="9.140625" style="6"/>
  </cols>
  <sheetData>
    <row r="1" spans="1:43" ht="15" customHeight="1" thickBot="1" x14ac:dyDescent="0.3">
      <c r="A1" s="2048" t="s">
        <v>566</v>
      </c>
      <c r="B1" s="2049"/>
      <c r="C1" s="2049"/>
      <c r="D1" s="2049"/>
      <c r="E1" s="2049"/>
      <c r="F1" s="2049"/>
      <c r="G1" s="2049"/>
      <c r="H1" s="2049"/>
      <c r="I1" s="2049"/>
      <c r="J1" s="2049"/>
      <c r="K1" s="2049"/>
      <c r="L1" s="2049"/>
      <c r="M1" s="2049"/>
      <c r="N1" s="2050"/>
    </row>
    <row r="2" spans="1:43" ht="3" hidden="1" customHeight="1" x14ac:dyDescent="0.2">
      <c r="A2" s="598"/>
    </row>
    <row r="3" spans="1:43" ht="62.25" customHeight="1" thickBot="1" x14ac:dyDescent="0.25">
      <c r="A3" s="1021" t="s">
        <v>219</v>
      </c>
      <c r="B3" s="1022" t="s">
        <v>220</v>
      </c>
      <c r="C3" s="1023" t="s">
        <v>9</v>
      </c>
      <c r="D3" s="1024" t="s">
        <v>221</v>
      </c>
      <c r="E3" s="1024" t="s">
        <v>104</v>
      </c>
      <c r="F3" s="1024" t="s">
        <v>222</v>
      </c>
      <c r="G3" s="1024" t="s">
        <v>123</v>
      </c>
      <c r="H3" s="1024" t="s">
        <v>122</v>
      </c>
      <c r="I3" s="1024" t="s">
        <v>223</v>
      </c>
      <c r="J3" s="1024" t="s">
        <v>298</v>
      </c>
      <c r="K3" s="1024" t="s">
        <v>105</v>
      </c>
      <c r="L3" s="1024" t="s">
        <v>142</v>
      </c>
      <c r="M3" s="1024" t="s">
        <v>58</v>
      </c>
      <c r="N3" s="1025" t="s">
        <v>21</v>
      </c>
    </row>
    <row r="4" spans="1:43" ht="15" customHeight="1" x14ac:dyDescent="0.2">
      <c r="A4" s="599"/>
      <c r="B4" s="459"/>
      <c r="C4" s="832"/>
      <c r="D4" s="832"/>
      <c r="E4" s="832"/>
      <c r="F4" s="832"/>
      <c r="G4" s="832"/>
      <c r="H4" s="832"/>
      <c r="I4" s="832"/>
      <c r="J4" s="832"/>
      <c r="K4" s="832"/>
      <c r="L4" s="832"/>
      <c r="M4" s="832"/>
      <c r="N4" s="833"/>
    </row>
    <row r="5" spans="1:43" s="87" customFormat="1" ht="15" customHeight="1" x14ac:dyDescent="0.2">
      <c r="A5" s="600" t="s">
        <v>225</v>
      </c>
      <c r="B5" s="312" t="s">
        <v>2</v>
      </c>
      <c r="C5" s="834"/>
      <c r="D5" s="834"/>
      <c r="E5" s="834"/>
      <c r="F5" s="834"/>
      <c r="G5" s="834"/>
      <c r="H5" s="834"/>
      <c r="I5" s="834"/>
      <c r="J5" s="834"/>
      <c r="K5" s="834"/>
      <c r="L5" s="834"/>
      <c r="M5" s="834"/>
      <c r="N5" s="835"/>
      <c r="O5" s="288"/>
    </row>
    <row r="6" spans="1:43" s="443" customFormat="1" ht="15" customHeight="1" thickBot="1" x14ac:dyDescent="0.25">
      <c r="A6" s="1203"/>
      <c r="B6" s="1204" t="s">
        <v>349</v>
      </c>
      <c r="C6" s="834">
        <v>32307000</v>
      </c>
      <c r="D6" s="834">
        <v>6505000</v>
      </c>
      <c r="E6" s="834">
        <v>58760000</v>
      </c>
      <c r="F6" s="834"/>
      <c r="G6" s="834"/>
      <c r="H6" s="834">
        <f>'6.a.sz. melléklet'!G6+'6.a.sz. melléklet'!G25+'6.a.sz. melléklet'!B42</f>
        <v>5500000</v>
      </c>
      <c r="I6" s="834">
        <f>SUM('6.b.sz.melléklet'!B21)+'6.b.sz.melléklet'!B22+'6.b.sz.melléklet'!B35+'6.b.sz.melléklet'!B34+'6.b.sz.melléklet'!B33</f>
        <v>410000</v>
      </c>
      <c r="J6" s="834">
        <f>SUM('6.b.sz.melléklet'!B44)</f>
        <v>0</v>
      </c>
      <c r="K6" s="834">
        <f>'5. sz.melléklet'!C55-+'6. sz.melléklet'!C104-'6. sz.melléklet'!D104-'6. sz.melléklet'!E104-'6. sz.melléklet'!F104-'6. sz.melléklet'!G104-'6. sz.melléklet'!H104-'6. sz.melléklet'!I104-'6. sz.melléklet'!J104-'6. sz.melléklet'!L104-'6. sz.melléklet'!M104</f>
        <v>54155707.555555582</v>
      </c>
      <c r="L6" s="834"/>
      <c r="M6" s="834"/>
      <c r="N6" s="1205">
        <f t="shared" ref="N6:N52" si="0">SUM(C6:M6)</f>
        <v>157637707.55555558</v>
      </c>
      <c r="O6" s="288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</row>
    <row r="7" spans="1:43" s="87" customFormat="1" ht="13.5" thickBot="1" x14ac:dyDescent="0.25">
      <c r="A7" s="1264"/>
      <c r="B7" s="313" t="s">
        <v>350</v>
      </c>
      <c r="C7" s="787">
        <f>32307000-480000</f>
        <v>31827000</v>
      </c>
      <c r="D7" s="787">
        <f>6505000-84000</f>
        <v>6421000</v>
      </c>
      <c r="E7" s="787">
        <f>58760000+77089976</f>
        <v>135849976</v>
      </c>
      <c r="F7" s="787"/>
      <c r="G7" s="787"/>
      <c r="H7" s="787">
        <v>5500000</v>
      </c>
      <c r="I7" s="787">
        <v>410000</v>
      </c>
      <c r="J7" s="787">
        <f>SUM('6.b.sz.melléklet'!B45)</f>
        <v>0</v>
      </c>
      <c r="K7" s="787">
        <f>54155708+698903-276042-2000000-2500000-200000-35000-25000000-3509414</f>
        <v>21334155</v>
      </c>
      <c r="L7" s="787"/>
      <c r="M7" s="787"/>
      <c r="N7" s="788">
        <f t="shared" si="0"/>
        <v>201342131</v>
      </c>
      <c r="O7" s="288"/>
    </row>
    <row r="8" spans="1:43" s="87" customFormat="1" ht="15" customHeight="1" x14ac:dyDescent="0.2">
      <c r="A8" s="1255" t="s">
        <v>235</v>
      </c>
      <c r="B8" s="314" t="s">
        <v>242</v>
      </c>
      <c r="C8" s="1253"/>
      <c r="D8" s="1253"/>
      <c r="E8" s="1253"/>
      <c r="F8" s="1253"/>
      <c r="G8" s="1253"/>
      <c r="H8" s="1253"/>
      <c r="I8" s="1253"/>
      <c r="J8" s="1253"/>
      <c r="K8" s="1253"/>
      <c r="L8" s="1253"/>
      <c r="M8" s="1253"/>
      <c r="N8" s="1254"/>
      <c r="O8" s="288"/>
    </row>
    <row r="9" spans="1:43" s="443" customFormat="1" ht="15" customHeight="1" thickBot="1" x14ac:dyDescent="0.25">
      <c r="A9" s="1203"/>
      <c r="B9" s="1204" t="s">
        <v>349</v>
      </c>
      <c r="C9" s="834"/>
      <c r="D9" s="834"/>
      <c r="E9" s="834">
        <f>34899000+12700000</f>
        <v>47599000</v>
      </c>
      <c r="F9" s="834"/>
      <c r="G9" s="834">
        <f>SUM('6.a.sz. melléklet'!D55)</f>
        <v>238086912</v>
      </c>
      <c r="H9" s="834">
        <f>'6.a.sz. melléklet'!G55-'6. sz.melléklet'!H6-'6. sz.melléklet'!H51-'6. sz.melléklet'!H78-'6.a.sz. melléklet'!G26</f>
        <v>352724281</v>
      </c>
      <c r="I9" s="834"/>
      <c r="J9" s="834"/>
      <c r="K9" s="834"/>
      <c r="L9" s="834">
        <f>SUM('20.sz. melléklet'!F6)</f>
        <v>26500000</v>
      </c>
      <c r="M9" s="834"/>
      <c r="N9" s="1205">
        <f t="shared" si="0"/>
        <v>664910193</v>
      </c>
      <c r="O9" s="288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</row>
    <row r="10" spans="1:43" s="87" customFormat="1" ht="13.5" thickBot="1" x14ac:dyDescent="0.25">
      <c r="A10" s="1516"/>
      <c r="B10" s="588" t="s">
        <v>350</v>
      </c>
      <c r="C10" s="1517">
        <v>480000</v>
      </c>
      <c r="D10" s="1517">
        <v>84000</v>
      </c>
      <c r="E10" s="1517">
        <f>SUM(E9)</f>
        <v>47599000</v>
      </c>
      <c r="F10" s="1517"/>
      <c r="G10" s="1517">
        <f>SUM(G9)</f>
        <v>238086912</v>
      </c>
      <c r="H10" s="1517">
        <f>SUM(H9)</f>
        <v>352724281</v>
      </c>
      <c r="I10" s="1517"/>
      <c r="J10" s="1517"/>
      <c r="K10" s="1517"/>
      <c r="L10" s="787">
        <f>26500000-22928200</f>
        <v>3571800</v>
      </c>
      <c r="M10" s="1517"/>
      <c r="N10" s="1518">
        <f t="shared" si="0"/>
        <v>642545993</v>
      </c>
      <c r="O10" s="288"/>
    </row>
    <row r="11" spans="1:43" s="87" customFormat="1" ht="22.5" customHeight="1" x14ac:dyDescent="0.2">
      <c r="A11" s="1255" t="s">
        <v>288</v>
      </c>
      <c r="B11" s="456" t="s">
        <v>391</v>
      </c>
      <c r="C11" s="1253"/>
      <c r="D11" s="1253"/>
      <c r="E11" s="1253"/>
      <c r="F11" s="1253"/>
      <c r="G11" s="1253"/>
      <c r="H11" s="1253"/>
      <c r="I11" s="1253"/>
      <c r="J11" s="1253"/>
      <c r="K11" s="1253"/>
      <c r="L11" s="1253"/>
      <c r="M11" s="1253"/>
      <c r="N11" s="1254"/>
      <c r="O11" s="288"/>
    </row>
    <row r="12" spans="1:43" s="443" customFormat="1" ht="15" customHeight="1" thickBot="1" x14ac:dyDescent="0.25">
      <c r="A12" s="476"/>
      <c r="B12" s="478" t="s">
        <v>349</v>
      </c>
      <c r="C12" s="836"/>
      <c r="D12" s="836"/>
      <c r="E12" s="836"/>
      <c r="F12" s="836"/>
      <c r="G12" s="836"/>
      <c r="H12" s="836"/>
      <c r="I12" s="836"/>
      <c r="J12" s="836"/>
      <c r="K12" s="836"/>
      <c r="L12" s="836"/>
      <c r="M12" s="836">
        <v>5398843</v>
      </c>
      <c r="N12" s="1256">
        <f>SUM(C12:M12)</f>
        <v>5398843</v>
      </c>
      <c r="O12" s="288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</row>
    <row r="13" spans="1:43" s="87" customFormat="1" ht="13.5" thickBot="1" x14ac:dyDescent="0.25">
      <c r="A13" s="1264"/>
      <c r="B13" s="313" t="s">
        <v>350</v>
      </c>
      <c r="C13" s="787"/>
      <c r="D13" s="787"/>
      <c r="E13" s="787">
        <v>276042</v>
      </c>
      <c r="F13" s="787"/>
      <c r="G13" s="787"/>
      <c r="H13" s="787"/>
      <c r="I13" s="787"/>
      <c r="J13" s="787"/>
      <c r="K13" s="787"/>
      <c r="L13" s="787"/>
      <c r="M13" s="787">
        <f>SUM(M12)+27182869</f>
        <v>32581712</v>
      </c>
      <c r="N13" s="788">
        <f>SUM(E13:M13)</f>
        <v>32857754</v>
      </c>
      <c r="O13" s="288"/>
    </row>
    <row r="14" spans="1:43" s="87" customFormat="1" ht="15" customHeight="1" x14ac:dyDescent="0.2">
      <c r="A14" s="1255" t="s">
        <v>472</v>
      </c>
      <c r="B14" s="314" t="s">
        <v>473</v>
      </c>
      <c r="C14" s="1253"/>
      <c r="D14" s="1253"/>
      <c r="E14" s="1253"/>
      <c r="F14" s="1253"/>
      <c r="G14" s="1253"/>
      <c r="H14" s="1253"/>
      <c r="I14" s="1253"/>
      <c r="J14" s="1253"/>
      <c r="K14" s="1253"/>
      <c r="L14" s="1253"/>
      <c r="M14" s="1253"/>
      <c r="N14" s="1254"/>
      <c r="O14" s="288"/>
    </row>
    <row r="15" spans="1:43" s="87" customFormat="1" ht="15" customHeight="1" x14ac:dyDescent="0.2">
      <c r="A15" s="1203"/>
      <c r="B15" s="1204" t="s">
        <v>349</v>
      </c>
      <c r="C15" s="834"/>
      <c r="D15" s="834"/>
      <c r="E15" s="834"/>
      <c r="F15" s="834"/>
      <c r="G15" s="834"/>
      <c r="H15" s="834"/>
      <c r="I15" s="834">
        <f>'6.b.sz.melléklet'!B46</f>
        <v>41964377</v>
      </c>
      <c r="J15" s="834"/>
      <c r="K15" s="834"/>
      <c r="L15" s="834"/>
      <c r="M15" s="834"/>
      <c r="N15" s="1205">
        <f>SUM(C15:M15)</f>
        <v>41964377</v>
      </c>
      <c r="O15" s="288"/>
    </row>
    <row r="16" spans="1:43" s="87" customFormat="1" ht="13.5" thickBot="1" x14ac:dyDescent="0.25">
      <c r="A16" s="1516"/>
      <c r="B16" s="588" t="s">
        <v>350</v>
      </c>
      <c r="C16" s="1517"/>
      <c r="D16" s="1517"/>
      <c r="E16" s="1517"/>
      <c r="F16" s="1517"/>
      <c r="G16" s="1517"/>
      <c r="H16" s="1517"/>
      <c r="I16" s="787">
        <f>'6.b.sz.melléklet'!B47</f>
        <v>41964377</v>
      </c>
      <c r="J16" s="1517"/>
      <c r="K16" s="1517"/>
      <c r="L16" s="1517"/>
      <c r="M16" s="1517"/>
      <c r="N16" s="1518">
        <f>SUM(I16:M16)</f>
        <v>41964377</v>
      </c>
      <c r="O16" s="288"/>
    </row>
    <row r="17" spans="1:43" s="87" customFormat="1" ht="15" customHeight="1" x14ac:dyDescent="0.2">
      <c r="A17" s="1255" t="s">
        <v>278</v>
      </c>
      <c r="B17" s="314" t="s">
        <v>279</v>
      </c>
      <c r="C17" s="1253"/>
      <c r="D17" s="1253"/>
      <c r="E17" s="1253"/>
      <c r="F17" s="1253"/>
      <c r="G17" s="1253"/>
      <c r="H17" s="1253"/>
      <c r="I17" s="1253"/>
      <c r="J17" s="1253"/>
      <c r="K17" s="1253"/>
      <c r="L17" s="1253"/>
      <c r="M17" s="1253"/>
      <c r="N17" s="1254"/>
      <c r="O17" s="288"/>
    </row>
    <row r="18" spans="1:43" s="443" customFormat="1" ht="13.5" thickBot="1" x14ac:dyDescent="0.25">
      <c r="A18" s="1203"/>
      <c r="B18" s="1204" t="s">
        <v>349</v>
      </c>
      <c r="C18" s="834"/>
      <c r="D18" s="834"/>
      <c r="E18" s="834"/>
      <c r="F18" s="834"/>
      <c r="G18" s="834"/>
      <c r="H18" s="834"/>
      <c r="I18" s="834">
        <f>'6.b.sz.melléklet'!B14</f>
        <v>20030004</v>
      </c>
      <c r="J18" s="834"/>
      <c r="K18" s="834"/>
      <c r="L18" s="834"/>
      <c r="M18" s="834">
        <f>'13.sz.melléklet'!E27+'14.sz.melléklet'!E24+'15.sz.melléklet'!D21+'16.sz. melléklet'!D66</f>
        <v>465919000</v>
      </c>
      <c r="N18" s="1205">
        <f t="shared" si="0"/>
        <v>485949004</v>
      </c>
      <c r="O18" s="288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</row>
    <row r="19" spans="1:43" s="87" customFormat="1" ht="13.5" thickBot="1" x14ac:dyDescent="0.25">
      <c r="A19" s="1516"/>
      <c r="B19" s="588" t="s">
        <v>350</v>
      </c>
      <c r="C19" s="1517"/>
      <c r="D19" s="1517"/>
      <c r="E19" s="1517"/>
      <c r="F19" s="1517"/>
      <c r="G19" s="1517"/>
      <c r="H19" s="1517"/>
      <c r="I19" s="787">
        <f>'6.b.sz.melléklet'!C14</f>
        <v>20030004</v>
      </c>
      <c r="J19" s="1517"/>
      <c r="K19" s="1517"/>
      <c r="L19" s="1517"/>
      <c r="M19" s="1517">
        <f>SUM(M18)+141791+944000+2000000+22036800+3509414</f>
        <v>494551005</v>
      </c>
      <c r="N19" s="1518">
        <f>SUM(C19:M19)</f>
        <v>514581009</v>
      </c>
      <c r="O19" s="288"/>
    </row>
    <row r="20" spans="1:43" s="87" customFormat="1" ht="15" customHeight="1" x14ac:dyDescent="0.2">
      <c r="A20" s="1255" t="s">
        <v>243</v>
      </c>
      <c r="B20" s="314" t="s">
        <v>244</v>
      </c>
      <c r="C20" s="1253"/>
      <c r="D20" s="1253"/>
      <c r="E20" s="1253"/>
      <c r="F20" s="1253"/>
      <c r="G20" s="1253"/>
      <c r="H20" s="1253"/>
      <c r="I20" s="1253"/>
      <c r="J20" s="1253"/>
      <c r="K20" s="1253"/>
      <c r="L20" s="1253"/>
      <c r="M20" s="1253"/>
      <c r="N20" s="1254"/>
      <c r="O20" s="288"/>
    </row>
    <row r="21" spans="1:43" s="443" customFormat="1" ht="13.5" customHeight="1" thickBot="1" x14ac:dyDescent="0.25">
      <c r="A21" s="1203"/>
      <c r="B21" s="1204" t="s">
        <v>349</v>
      </c>
      <c r="C21" s="834"/>
      <c r="D21" s="834"/>
      <c r="E21" s="834"/>
      <c r="F21" s="834"/>
      <c r="G21" s="834"/>
      <c r="H21" s="834"/>
      <c r="I21" s="834">
        <f>SUM('6.b.sz.melléklet'!B25)</f>
        <v>360000</v>
      </c>
      <c r="J21" s="834"/>
      <c r="K21" s="834"/>
      <c r="L21" s="834"/>
      <c r="M21" s="834"/>
      <c r="N21" s="1205">
        <f t="shared" si="0"/>
        <v>360000</v>
      </c>
      <c r="O21" s="288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</row>
    <row r="22" spans="1:43" s="87" customFormat="1" ht="13.5" thickBot="1" x14ac:dyDescent="0.25">
      <c r="A22" s="1516"/>
      <c r="B22" s="588" t="s">
        <v>350</v>
      </c>
      <c r="C22" s="1517"/>
      <c r="D22" s="1517"/>
      <c r="E22" s="1517"/>
      <c r="F22" s="1517"/>
      <c r="G22" s="1517"/>
      <c r="H22" s="1517"/>
      <c r="I22" s="787">
        <f>SUM('6.b.sz.melléklet'!C25)</f>
        <v>360000</v>
      </c>
      <c r="J22" s="1517"/>
      <c r="K22" s="1517"/>
      <c r="L22" s="1517"/>
      <c r="M22" s="1517"/>
      <c r="N22" s="1518">
        <f t="shared" si="0"/>
        <v>360000</v>
      </c>
      <c r="O22" s="288"/>
    </row>
    <row r="23" spans="1:43" s="87" customFormat="1" ht="15" customHeight="1" x14ac:dyDescent="0.2">
      <c r="A23" s="1255" t="s">
        <v>245</v>
      </c>
      <c r="B23" s="314" t="s">
        <v>246</v>
      </c>
      <c r="C23" s="1253"/>
      <c r="D23" s="1253"/>
      <c r="E23" s="1253"/>
      <c r="F23" s="1253"/>
      <c r="G23" s="1253"/>
      <c r="H23" s="1253"/>
      <c r="I23" s="1253"/>
      <c r="J23" s="1253"/>
      <c r="K23" s="1253"/>
      <c r="L23" s="1253"/>
      <c r="M23" s="1253"/>
      <c r="N23" s="1254"/>
      <c r="O23" s="288"/>
    </row>
    <row r="24" spans="1:43" s="443" customFormat="1" ht="13.5" thickBot="1" x14ac:dyDescent="0.25">
      <c r="A24" s="1203"/>
      <c r="B24" s="1204" t="s">
        <v>349</v>
      </c>
      <c r="C24" s="834">
        <v>11446000</v>
      </c>
      <c r="D24" s="834">
        <v>2144000</v>
      </c>
      <c r="E24" s="834">
        <v>7546000</v>
      </c>
      <c r="F24" s="834"/>
      <c r="G24" s="834"/>
      <c r="H24" s="834"/>
      <c r="I24" s="834"/>
      <c r="J24" s="834"/>
      <c r="K24" s="834"/>
      <c r="L24" s="834"/>
      <c r="M24" s="834"/>
      <c r="N24" s="1205">
        <f t="shared" si="0"/>
        <v>21136000</v>
      </c>
      <c r="O24" s="288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</row>
    <row r="25" spans="1:43" s="87" customFormat="1" ht="13.5" thickBot="1" x14ac:dyDescent="0.25">
      <c r="A25" s="1516"/>
      <c r="B25" s="588" t="s">
        <v>350</v>
      </c>
      <c r="C25" s="1517">
        <f>SUM(C24)+758400</f>
        <v>12204400</v>
      </c>
      <c r="D25" s="1517">
        <f>SUM(D24)+133000</f>
        <v>2277000</v>
      </c>
      <c r="E25" s="1517">
        <f t="shared" ref="E25" si="1">SUM(E24)</f>
        <v>7546000</v>
      </c>
      <c r="F25" s="1517"/>
      <c r="G25" s="1517"/>
      <c r="H25" s="1517"/>
      <c r="I25" s="1517"/>
      <c r="J25" s="1517"/>
      <c r="K25" s="1517"/>
      <c r="L25" s="1517"/>
      <c r="M25" s="1517"/>
      <c r="N25" s="1518">
        <f t="shared" si="0"/>
        <v>22027400</v>
      </c>
      <c r="O25" s="288"/>
    </row>
    <row r="26" spans="1:43" s="87" customFormat="1" ht="15" customHeight="1" x14ac:dyDescent="0.2">
      <c r="A26" s="1255" t="s">
        <v>268</v>
      </c>
      <c r="B26" s="314" t="s">
        <v>269</v>
      </c>
      <c r="C26" s="1253"/>
      <c r="D26" s="1253"/>
      <c r="E26" s="1253"/>
      <c r="F26" s="1253"/>
      <c r="G26" s="1253"/>
      <c r="H26" s="1253"/>
      <c r="I26" s="1253"/>
      <c r="J26" s="1253"/>
      <c r="K26" s="1253"/>
      <c r="L26" s="1253"/>
      <c r="M26" s="1253"/>
      <c r="N26" s="1254"/>
      <c r="O26" s="288"/>
    </row>
    <row r="27" spans="1:43" s="443" customFormat="1" ht="13.5" thickBot="1" x14ac:dyDescent="0.25">
      <c r="A27" s="1203"/>
      <c r="B27" s="1204" t="s">
        <v>349</v>
      </c>
      <c r="C27" s="834"/>
      <c r="D27" s="834"/>
      <c r="E27" s="834">
        <v>4572000</v>
      </c>
      <c r="F27" s="834"/>
      <c r="G27" s="834"/>
      <c r="H27" s="834"/>
      <c r="I27" s="834"/>
      <c r="J27" s="834"/>
      <c r="K27" s="834"/>
      <c r="L27" s="834"/>
      <c r="M27" s="834"/>
      <c r="N27" s="1205">
        <f t="shared" si="0"/>
        <v>4572000</v>
      </c>
      <c r="O27" s="288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</row>
    <row r="28" spans="1:43" s="87" customFormat="1" ht="13.5" thickBot="1" x14ac:dyDescent="0.25">
      <c r="A28" s="1516"/>
      <c r="B28" s="588" t="s">
        <v>350</v>
      </c>
      <c r="C28" s="1517"/>
      <c r="D28" s="1517"/>
      <c r="E28" s="1517">
        <f>SUM(E27)</f>
        <v>4572000</v>
      </c>
      <c r="F28" s="1517"/>
      <c r="G28" s="1517"/>
      <c r="H28" s="1517"/>
      <c r="I28" s="1517"/>
      <c r="J28" s="1517"/>
      <c r="K28" s="1517"/>
      <c r="L28" s="1517"/>
      <c r="M28" s="1517"/>
      <c r="N28" s="1518">
        <f t="shared" si="0"/>
        <v>4572000</v>
      </c>
      <c r="O28" s="288"/>
    </row>
    <row r="29" spans="1:43" s="87" customFormat="1" ht="15" customHeight="1" x14ac:dyDescent="0.2">
      <c r="A29" s="601" t="s">
        <v>247</v>
      </c>
      <c r="B29" s="456" t="s">
        <v>248</v>
      </c>
      <c r="C29" s="842"/>
      <c r="D29" s="842"/>
      <c r="E29" s="842"/>
      <c r="F29" s="842"/>
      <c r="G29" s="842"/>
      <c r="H29" s="842"/>
      <c r="I29" s="843"/>
      <c r="J29" s="843"/>
      <c r="K29" s="843"/>
      <c r="L29" s="843"/>
      <c r="M29" s="843"/>
      <c r="N29" s="1254"/>
      <c r="O29" s="288"/>
    </row>
    <row r="30" spans="1:43" s="443" customFormat="1" ht="15" customHeight="1" thickBot="1" x14ac:dyDescent="0.25">
      <c r="A30" s="1257"/>
      <c r="B30" s="1204" t="s">
        <v>349</v>
      </c>
      <c r="C30" s="837">
        <v>480000</v>
      </c>
      <c r="D30" s="837">
        <v>84000</v>
      </c>
      <c r="E30" s="837">
        <v>1537000</v>
      </c>
      <c r="F30" s="837"/>
      <c r="G30" s="837"/>
      <c r="H30" s="837"/>
      <c r="I30" s="838"/>
      <c r="J30" s="838"/>
      <c r="K30" s="838"/>
      <c r="L30" s="838"/>
      <c r="M30" s="838"/>
      <c r="N30" s="1205">
        <f t="shared" si="0"/>
        <v>2101000</v>
      </c>
      <c r="O30" s="288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</row>
    <row r="31" spans="1:43" s="87" customFormat="1" ht="13.5" thickBot="1" x14ac:dyDescent="0.25">
      <c r="A31" s="589"/>
      <c r="B31" s="588" t="s">
        <v>350</v>
      </c>
      <c r="C31" s="839">
        <f>SUM(C30)</f>
        <v>480000</v>
      </c>
      <c r="D31" s="839">
        <f t="shared" ref="D31:E31" si="2">SUM(D30)</f>
        <v>84000</v>
      </c>
      <c r="E31" s="839">
        <f t="shared" si="2"/>
        <v>1537000</v>
      </c>
      <c r="F31" s="839"/>
      <c r="G31" s="839"/>
      <c r="H31" s="839"/>
      <c r="I31" s="840"/>
      <c r="J31" s="840"/>
      <c r="K31" s="840"/>
      <c r="L31" s="840"/>
      <c r="M31" s="840"/>
      <c r="N31" s="1518">
        <f t="shared" si="0"/>
        <v>2101000</v>
      </c>
      <c r="O31" s="288"/>
    </row>
    <row r="32" spans="1:43" s="87" customFormat="1" ht="25.5" x14ac:dyDescent="0.2">
      <c r="A32" s="601" t="s">
        <v>249</v>
      </c>
      <c r="B32" s="456" t="s">
        <v>162</v>
      </c>
      <c r="C32" s="842"/>
      <c r="D32" s="842"/>
      <c r="E32" s="842"/>
      <c r="F32" s="842"/>
      <c r="G32" s="842"/>
      <c r="H32" s="842"/>
      <c r="I32" s="843"/>
      <c r="J32" s="843"/>
      <c r="K32" s="843"/>
      <c r="L32" s="843"/>
      <c r="M32" s="843"/>
      <c r="N32" s="1254"/>
      <c r="O32" s="288"/>
    </row>
    <row r="33" spans="1:43" s="443" customFormat="1" ht="15" customHeight="1" thickBot="1" x14ac:dyDescent="0.25">
      <c r="A33" s="1257"/>
      <c r="B33" s="1204" t="s">
        <v>349</v>
      </c>
      <c r="C33" s="837"/>
      <c r="D33" s="837"/>
      <c r="E33" s="837">
        <v>9615000</v>
      </c>
      <c r="F33" s="837"/>
      <c r="G33" s="837"/>
      <c r="H33" s="837"/>
      <c r="I33" s="838"/>
      <c r="J33" s="838"/>
      <c r="K33" s="838"/>
      <c r="L33" s="838"/>
      <c r="M33" s="838"/>
      <c r="N33" s="1205">
        <f t="shared" si="0"/>
        <v>9615000</v>
      </c>
      <c r="O33" s="288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</row>
    <row r="34" spans="1:43" s="87" customFormat="1" ht="13.5" thickBot="1" x14ac:dyDescent="0.25">
      <c r="A34" s="1519"/>
      <c r="B34" s="313" t="s">
        <v>350</v>
      </c>
      <c r="C34" s="1520"/>
      <c r="D34" s="1520"/>
      <c r="E34" s="1520">
        <f>SUM(E33)</f>
        <v>9615000</v>
      </c>
      <c r="F34" s="1520"/>
      <c r="G34" s="1520">
        <f>SUM(G33)</f>
        <v>0</v>
      </c>
      <c r="H34" s="1520"/>
      <c r="I34" s="1521"/>
      <c r="J34" s="1521"/>
      <c r="K34" s="1521"/>
      <c r="L34" s="1521"/>
      <c r="M34" s="1521"/>
      <c r="N34" s="788">
        <f t="shared" si="0"/>
        <v>9615000</v>
      </c>
      <c r="O34" s="288"/>
    </row>
    <row r="35" spans="1:43" s="87" customFormat="1" ht="25.5" x14ac:dyDescent="0.2">
      <c r="A35" s="601" t="s">
        <v>250</v>
      </c>
      <c r="B35" s="456" t="s">
        <v>251</v>
      </c>
      <c r="C35" s="842"/>
      <c r="D35" s="842"/>
      <c r="E35" s="842"/>
      <c r="F35" s="842"/>
      <c r="G35" s="842"/>
      <c r="H35" s="842"/>
      <c r="I35" s="843"/>
      <c r="J35" s="843"/>
      <c r="K35" s="843"/>
      <c r="L35" s="843"/>
      <c r="M35" s="843"/>
      <c r="N35" s="1254"/>
      <c r="O35" s="288"/>
    </row>
    <row r="36" spans="1:43" s="443" customFormat="1" ht="13.5" thickBot="1" x14ac:dyDescent="0.25">
      <c r="A36" s="1257"/>
      <c r="B36" s="1204" t="s">
        <v>349</v>
      </c>
      <c r="C36" s="837"/>
      <c r="D36" s="837"/>
      <c r="E36" s="837">
        <v>1188000</v>
      </c>
      <c r="F36" s="837"/>
      <c r="G36" s="837"/>
      <c r="H36" s="837"/>
      <c r="I36" s="838"/>
      <c r="J36" s="838"/>
      <c r="K36" s="838"/>
      <c r="L36" s="838"/>
      <c r="M36" s="838"/>
      <c r="N36" s="1205">
        <f t="shared" si="0"/>
        <v>1188000</v>
      </c>
      <c r="O36" s="288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</row>
    <row r="37" spans="1:43" s="87" customFormat="1" ht="13.5" thickBot="1" x14ac:dyDescent="0.25">
      <c r="A37" s="589"/>
      <c r="B37" s="588" t="s">
        <v>350</v>
      </c>
      <c r="C37" s="839"/>
      <c r="D37" s="839"/>
      <c r="E37" s="839">
        <f>SUM(E36)</f>
        <v>1188000</v>
      </c>
      <c r="F37" s="839"/>
      <c r="G37" s="839"/>
      <c r="H37" s="839"/>
      <c r="I37" s="840"/>
      <c r="J37" s="840"/>
      <c r="K37" s="840"/>
      <c r="L37" s="840"/>
      <c r="M37" s="840"/>
      <c r="N37" s="1518">
        <f t="shared" si="0"/>
        <v>1188000</v>
      </c>
      <c r="O37" s="288"/>
    </row>
    <row r="38" spans="1:43" s="87" customFormat="1" ht="15" customHeight="1" x14ac:dyDescent="0.2">
      <c r="A38" s="601" t="s">
        <v>270</v>
      </c>
      <c r="B38" s="456" t="s">
        <v>1</v>
      </c>
      <c r="C38" s="1259"/>
      <c r="D38" s="842"/>
      <c r="E38" s="842"/>
      <c r="F38" s="842"/>
      <c r="G38" s="842"/>
      <c r="H38" s="842"/>
      <c r="I38" s="843"/>
      <c r="J38" s="843"/>
      <c r="K38" s="843"/>
      <c r="L38" s="843"/>
      <c r="M38" s="843"/>
      <c r="N38" s="1254"/>
      <c r="O38" s="288"/>
    </row>
    <row r="39" spans="1:43" s="443" customFormat="1" ht="15" customHeight="1" thickBot="1" x14ac:dyDescent="0.25">
      <c r="A39" s="1257"/>
      <c r="B39" s="1204" t="s">
        <v>349</v>
      </c>
      <c r="C39" s="841"/>
      <c r="D39" s="837"/>
      <c r="E39" s="837">
        <v>18384000</v>
      </c>
      <c r="F39" s="837"/>
      <c r="G39" s="837"/>
      <c r="H39" s="837"/>
      <c r="I39" s="838"/>
      <c r="J39" s="838"/>
      <c r="K39" s="838"/>
      <c r="L39" s="838"/>
      <c r="M39" s="838"/>
      <c r="N39" s="1205">
        <f t="shared" si="0"/>
        <v>18384000</v>
      </c>
      <c r="O39" s="288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</row>
    <row r="40" spans="1:43" s="87" customFormat="1" ht="13.5" thickBot="1" x14ac:dyDescent="0.25">
      <c r="A40" s="589"/>
      <c r="B40" s="588" t="s">
        <v>350</v>
      </c>
      <c r="C40" s="1522"/>
      <c r="D40" s="839"/>
      <c r="E40" s="839">
        <f>SUM(E39)</f>
        <v>18384000</v>
      </c>
      <c r="F40" s="839"/>
      <c r="G40" s="839"/>
      <c r="H40" s="839"/>
      <c r="I40" s="840"/>
      <c r="J40" s="840"/>
      <c r="K40" s="840"/>
      <c r="L40" s="840"/>
      <c r="M40" s="840"/>
      <c r="N40" s="1518">
        <f t="shared" si="0"/>
        <v>18384000</v>
      </c>
      <c r="O40" s="288"/>
    </row>
    <row r="41" spans="1:43" s="87" customFormat="1" ht="15" customHeight="1" x14ac:dyDescent="0.2">
      <c r="A41" s="601" t="s">
        <v>271</v>
      </c>
      <c r="B41" s="456" t="s">
        <v>163</v>
      </c>
      <c r="C41" s="842"/>
      <c r="D41" s="842"/>
      <c r="E41" s="842"/>
      <c r="F41" s="842"/>
      <c r="G41" s="842"/>
      <c r="H41" s="842"/>
      <c r="I41" s="843"/>
      <c r="J41" s="843"/>
      <c r="K41" s="843"/>
      <c r="L41" s="843"/>
      <c r="M41" s="843"/>
      <c r="N41" s="1254"/>
      <c r="O41" s="288"/>
    </row>
    <row r="42" spans="1:43" s="443" customFormat="1" ht="15" customHeight="1" thickBot="1" x14ac:dyDescent="0.25">
      <c r="A42" s="1257"/>
      <c r="B42" s="1204" t="s">
        <v>349</v>
      </c>
      <c r="C42" s="837"/>
      <c r="D42" s="837"/>
      <c r="E42" s="837">
        <v>4598000</v>
      </c>
      <c r="F42" s="837"/>
      <c r="G42" s="837"/>
      <c r="H42" s="837"/>
      <c r="I42" s="838"/>
      <c r="J42" s="838"/>
      <c r="K42" s="838"/>
      <c r="L42" s="838"/>
      <c r="M42" s="838"/>
      <c r="N42" s="1205">
        <f t="shared" si="0"/>
        <v>4598000</v>
      </c>
      <c r="O42" s="288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</row>
    <row r="43" spans="1:43" s="87" customFormat="1" ht="13.5" thickBot="1" x14ac:dyDescent="0.25">
      <c r="A43" s="589"/>
      <c r="B43" s="588" t="s">
        <v>350</v>
      </c>
      <c r="C43" s="839"/>
      <c r="D43" s="839"/>
      <c r="E43" s="839">
        <f>SUM(E42)</f>
        <v>4598000</v>
      </c>
      <c r="F43" s="839"/>
      <c r="G43" s="839"/>
      <c r="H43" s="839"/>
      <c r="I43" s="840"/>
      <c r="J43" s="840"/>
      <c r="K43" s="840"/>
      <c r="L43" s="840"/>
      <c r="M43" s="840"/>
      <c r="N43" s="1518">
        <f t="shared" si="0"/>
        <v>4598000</v>
      </c>
      <c r="O43" s="288"/>
    </row>
    <row r="44" spans="1:43" s="87" customFormat="1" ht="15" customHeight="1" x14ac:dyDescent="0.2">
      <c r="A44" s="601" t="s">
        <v>252</v>
      </c>
      <c r="B44" s="456" t="s">
        <v>253</v>
      </c>
      <c r="C44" s="842"/>
      <c r="D44" s="842"/>
      <c r="E44" s="842"/>
      <c r="F44" s="842"/>
      <c r="G44" s="842"/>
      <c r="H44" s="842"/>
      <c r="I44" s="843"/>
      <c r="J44" s="843"/>
      <c r="K44" s="843"/>
      <c r="L44" s="843"/>
      <c r="M44" s="843"/>
      <c r="N44" s="1254"/>
      <c r="O44" s="288"/>
    </row>
    <row r="45" spans="1:43" s="443" customFormat="1" ht="15" customHeight="1" thickBot="1" x14ac:dyDescent="0.25">
      <c r="A45" s="1257"/>
      <c r="B45" s="1204" t="s">
        <v>349</v>
      </c>
      <c r="C45" s="837"/>
      <c r="D45" s="837"/>
      <c r="E45" s="837">
        <v>1702000</v>
      </c>
      <c r="F45" s="837"/>
      <c r="G45" s="837"/>
      <c r="H45" s="837"/>
      <c r="I45" s="838"/>
      <c r="J45" s="838"/>
      <c r="K45" s="838"/>
      <c r="L45" s="838"/>
      <c r="M45" s="838"/>
      <c r="N45" s="1205">
        <f t="shared" si="0"/>
        <v>1702000</v>
      </c>
      <c r="O45" s="288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</row>
    <row r="46" spans="1:43" s="87" customFormat="1" ht="13.5" thickBot="1" x14ac:dyDescent="0.25">
      <c r="A46" s="589"/>
      <c r="B46" s="588" t="s">
        <v>350</v>
      </c>
      <c r="C46" s="839"/>
      <c r="D46" s="839"/>
      <c r="E46" s="1520">
        <v>1702000</v>
      </c>
      <c r="F46" s="839"/>
      <c r="G46" s="839"/>
      <c r="H46" s="839"/>
      <c r="I46" s="840"/>
      <c r="J46" s="840"/>
      <c r="K46" s="840"/>
      <c r="L46" s="840"/>
      <c r="M46" s="840"/>
      <c r="N46" s="1518">
        <f t="shared" si="0"/>
        <v>1702000</v>
      </c>
      <c r="O46" s="288"/>
    </row>
    <row r="47" spans="1:43" s="87" customFormat="1" ht="15" customHeight="1" x14ac:dyDescent="0.2">
      <c r="A47" s="601" t="s">
        <v>254</v>
      </c>
      <c r="B47" s="456" t="s">
        <v>108</v>
      </c>
      <c r="C47" s="842"/>
      <c r="D47" s="842"/>
      <c r="E47" s="842"/>
      <c r="F47" s="842"/>
      <c r="G47" s="842"/>
      <c r="H47" s="842"/>
      <c r="I47" s="843"/>
      <c r="J47" s="843"/>
      <c r="K47" s="843"/>
      <c r="L47" s="843"/>
      <c r="M47" s="843"/>
      <c r="N47" s="1254"/>
      <c r="O47" s="288"/>
    </row>
    <row r="48" spans="1:43" s="443" customFormat="1" ht="15" customHeight="1" thickBot="1" x14ac:dyDescent="0.25">
      <c r="A48" s="1257"/>
      <c r="B48" s="1204" t="s">
        <v>349</v>
      </c>
      <c r="C48" s="837"/>
      <c r="D48" s="837"/>
      <c r="E48" s="837">
        <v>23838000</v>
      </c>
      <c r="F48" s="837"/>
      <c r="G48" s="837"/>
      <c r="H48" s="837">
        <f>'6.a.sz. melléklet'!G26</f>
        <v>400000</v>
      </c>
      <c r="I48" s="838"/>
      <c r="J48" s="838"/>
      <c r="K48" s="838"/>
      <c r="L48" s="838"/>
      <c r="M48" s="838"/>
      <c r="N48" s="1205">
        <f t="shared" si="0"/>
        <v>24238000</v>
      </c>
      <c r="O48" s="288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</row>
    <row r="49" spans="1:43" s="87" customFormat="1" ht="13.5" thickBot="1" x14ac:dyDescent="0.25">
      <c r="A49" s="589"/>
      <c r="B49" s="588" t="s">
        <v>350</v>
      </c>
      <c r="C49" s="839"/>
      <c r="D49" s="839"/>
      <c r="E49" s="839">
        <f>SUM(E48)</f>
        <v>23838000</v>
      </c>
      <c r="F49" s="839"/>
      <c r="G49" s="839"/>
      <c r="H49" s="1520">
        <f>'6.a.sz. melléklet'!H26</f>
        <v>400000</v>
      </c>
      <c r="I49" s="840"/>
      <c r="J49" s="840"/>
      <c r="K49" s="840"/>
      <c r="L49" s="840"/>
      <c r="M49" s="840"/>
      <c r="N49" s="1518">
        <f t="shared" si="0"/>
        <v>24238000</v>
      </c>
      <c r="O49" s="288"/>
    </row>
    <row r="50" spans="1:43" s="87" customFormat="1" ht="25.5" x14ac:dyDescent="0.2">
      <c r="A50" s="601" t="s">
        <v>255</v>
      </c>
      <c r="B50" s="456" t="s">
        <v>110</v>
      </c>
      <c r="C50" s="842"/>
      <c r="D50" s="842"/>
      <c r="E50" s="842"/>
      <c r="F50" s="842"/>
      <c r="G50" s="842"/>
      <c r="H50" s="842"/>
      <c r="I50" s="843"/>
      <c r="J50" s="843"/>
      <c r="K50" s="843"/>
      <c r="L50" s="843"/>
      <c r="M50" s="843"/>
      <c r="N50" s="1254"/>
      <c r="O50" s="288"/>
    </row>
    <row r="51" spans="1:43" s="443" customFormat="1" ht="15" customHeight="1" thickBot="1" x14ac:dyDescent="0.25">
      <c r="A51" s="1257"/>
      <c r="B51" s="1204" t="s">
        <v>349</v>
      </c>
      <c r="C51" s="837">
        <v>9126000</v>
      </c>
      <c r="D51" s="837">
        <v>1683000</v>
      </c>
      <c r="E51" s="837">
        <v>1998000</v>
      </c>
      <c r="F51" s="837"/>
      <c r="G51" s="837"/>
      <c r="H51" s="837">
        <f>'6.a.sz. melléklet'!G16</f>
        <v>300000</v>
      </c>
      <c r="I51" s="838"/>
      <c r="J51" s="838"/>
      <c r="K51" s="838"/>
      <c r="L51" s="838"/>
      <c r="M51" s="838"/>
      <c r="N51" s="1205">
        <f t="shared" si="0"/>
        <v>13107000</v>
      </c>
      <c r="O51" s="288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</row>
    <row r="52" spans="1:43" s="87" customFormat="1" ht="13.5" thickBot="1" x14ac:dyDescent="0.25">
      <c r="A52" s="589"/>
      <c r="B52" s="588" t="s">
        <v>350</v>
      </c>
      <c r="C52" s="839">
        <f>SUM(C51)</f>
        <v>9126000</v>
      </c>
      <c r="D52" s="839">
        <f>SUM(D51)</f>
        <v>1683000</v>
      </c>
      <c r="E52" s="839">
        <f t="shared" ref="E52" si="3">SUM(E51)</f>
        <v>1998000</v>
      </c>
      <c r="F52" s="839"/>
      <c r="G52" s="839"/>
      <c r="H52" s="839">
        <f>SUM(H51)</f>
        <v>300000</v>
      </c>
      <c r="I52" s="840"/>
      <c r="J52" s="840"/>
      <c r="K52" s="840"/>
      <c r="L52" s="840"/>
      <c r="M52" s="840"/>
      <c r="N52" s="1518">
        <f t="shared" si="0"/>
        <v>13107000</v>
      </c>
      <c r="O52" s="288"/>
    </row>
    <row r="53" spans="1:43" s="87" customFormat="1" ht="15" customHeight="1" x14ac:dyDescent="0.2">
      <c r="A53" s="601" t="s">
        <v>256</v>
      </c>
      <c r="B53" s="456" t="s">
        <v>109</v>
      </c>
      <c r="C53" s="842"/>
      <c r="D53" s="842"/>
      <c r="E53" s="842"/>
      <c r="F53" s="842"/>
      <c r="G53" s="842"/>
      <c r="H53" s="842"/>
      <c r="I53" s="843"/>
      <c r="J53" s="843"/>
      <c r="K53" s="843"/>
      <c r="L53" s="843"/>
      <c r="M53" s="843"/>
      <c r="N53" s="1254"/>
      <c r="O53" s="288"/>
    </row>
    <row r="54" spans="1:43" s="443" customFormat="1" ht="15" customHeight="1" thickBot="1" x14ac:dyDescent="0.25">
      <c r="A54" s="1257"/>
      <c r="B54" s="1204" t="s">
        <v>349</v>
      </c>
      <c r="C54" s="837">
        <v>447000</v>
      </c>
      <c r="D54" s="837">
        <v>78000</v>
      </c>
      <c r="E54" s="837"/>
      <c r="F54" s="837"/>
      <c r="G54" s="837"/>
      <c r="H54" s="837"/>
      <c r="I54" s="838"/>
      <c r="J54" s="838"/>
      <c r="K54" s="838"/>
      <c r="L54" s="838"/>
      <c r="M54" s="838"/>
      <c r="N54" s="1205">
        <f t="shared" ref="N54:N94" si="4">SUM(C54:M54)</f>
        <v>525000</v>
      </c>
      <c r="O54" s="288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</row>
    <row r="55" spans="1:43" s="87" customFormat="1" ht="13.5" thickBot="1" x14ac:dyDescent="0.25">
      <c r="A55" s="589"/>
      <c r="B55" s="588" t="s">
        <v>350</v>
      </c>
      <c r="C55" s="839">
        <f>SUM(C54)</f>
        <v>447000</v>
      </c>
      <c r="D55" s="839">
        <f>SUM(D54)</f>
        <v>78000</v>
      </c>
      <c r="E55" s="839"/>
      <c r="F55" s="839"/>
      <c r="G55" s="839"/>
      <c r="H55" s="839"/>
      <c r="I55" s="840"/>
      <c r="J55" s="840"/>
      <c r="K55" s="840"/>
      <c r="L55" s="840"/>
      <c r="M55" s="840"/>
      <c r="N55" s="1518">
        <f t="shared" si="4"/>
        <v>525000</v>
      </c>
      <c r="O55" s="288"/>
    </row>
    <row r="56" spans="1:43" s="87" customFormat="1" ht="38.25" x14ac:dyDescent="0.2">
      <c r="A56" s="601" t="s">
        <v>257</v>
      </c>
      <c r="B56" s="456" t="s">
        <v>356</v>
      </c>
      <c r="C56" s="842"/>
      <c r="D56" s="842"/>
      <c r="E56" s="842"/>
      <c r="F56" s="842"/>
      <c r="G56" s="842"/>
      <c r="H56" s="842"/>
      <c r="I56" s="843"/>
      <c r="J56" s="843"/>
      <c r="K56" s="843"/>
      <c r="L56" s="843"/>
      <c r="M56" s="843"/>
      <c r="N56" s="1254"/>
      <c r="O56" s="288"/>
    </row>
    <row r="57" spans="1:43" s="443" customFormat="1" ht="15" customHeight="1" thickBot="1" x14ac:dyDescent="0.25">
      <c r="A57" s="1257"/>
      <c r="B57" s="1204" t="s">
        <v>349</v>
      </c>
      <c r="C57" s="837">
        <v>480000</v>
      </c>
      <c r="D57" s="837">
        <v>95000</v>
      </c>
      <c r="E57" s="837">
        <v>942000</v>
      </c>
      <c r="F57" s="837"/>
      <c r="G57" s="837"/>
      <c r="H57" s="837"/>
      <c r="I57" s="838">
        <f>SUM('6.b.sz.melléklet'!B8)</f>
        <v>840000</v>
      </c>
      <c r="J57" s="838"/>
      <c r="K57" s="838"/>
      <c r="L57" s="838"/>
      <c r="M57" s="838"/>
      <c r="N57" s="1205">
        <f t="shared" si="4"/>
        <v>2357000</v>
      </c>
      <c r="O57" s="288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</row>
    <row r="58" spans="1:43" s="87" customFormat="1" ht="13.5" thickBot="1" x14ac:dyDescent="0.25">
      <c r="A58" s="1519"/>
      <c r="B58" s="313" t="s">
        <v>350</v>
      </c>
      <c r="C58" s="1520">
        <f>SUM(C57)</f>
        <v>480000</v>
      </c>
      <c r="D58" s="1520">
        <f t="shared" ref="D58:E58" si="5">SUM(D57)</f>
        <v>95000</v>
      </c>
      <c r="E58" s="1520">
        <f t="shared" si="5"/>
        <v>942000</v>
      </c>
      <c r="F58" s="1520"/>
      <c r="G58" s="1520"/>
      <c r="H58" s="1520"/>
      <c r="I58" s="1521">
        <f>SUM('6.b.sz.melléklet'!C8)</f>
        <v>840000</v>
      </c>
      <c r="J58" s="1521"/>
      <c r="K58" s="1521"/>
      <c r="L58" s="1521"/>
      <c r="M58" s="1521"/>
      <c r="N58" s="788">
        <f t="shared" si="4"/>
        <v>2357000</v>
      </c>
      <c r="O58" s="288"/>
    </row>
    <row r="59" spans="1:43" s="87" customFormat="1" x14ac:dyDescent="0.2">
      <c r="A59" s="1973" t="s">
        <v>649</v>
      </c>
      <c r="B59" s="1974" t="s">
        <v>650</v>
      </c>
      <c r="C59" s="1970"/>
      <c r="D59" s="1970"/>
      <c r="E59" s="1970"/>
      <c r="F59" s="1970"/>
      <c r="G59" s="1970"/>
      <c r="H59" s="1970"/>
      <c r="I59" s="1971"/>
      <c r="J59" s="1971"/>
      <c r="K59" s="1971"/>
      <c r="L59" s="1971"/>
      <c r="M59" s="1971"/>
      <c r="N59" s="1972"/>
      <c r="O59" s="288"/>
    </row>
    <row r="60" spans="1:43" s="87" customFormat="1" x14ac:dyDescent="0.2">
      <c r="A60" s="1968"/>
      <c r="B60" s="1969" t="s">
        <v>349</v>
      </c>
      <c r="C60" s="1970"/>
      <c r="D60" s="1970"/>
      <c r="E60" s="1970"/>
      <c r="F60" s="1970"/>
      <c r="G60" s="1970"/>
      <c r="H60" s="1970"/>
      <c r="I60" s="1971"/>
      <c r="J60" s="1971"/>
      <c r="K60" s="1971"/>
      <c r="L60" s="1971"/>
      <c r="M60" s="1971"/>
      <c r="N60" s="1972"/>
      <c r="O60" s="288"/>
    </row>
    <row r="61" spans="1:43" s="87" customFormat="1" ht="13.5" thickBot="1" x14ac:dyDescent="0.25">
      <c r="A61" s="589"/>
      <c r="B61" s="588" t="s">
        <v>350</v>
      </c>
      <c r="C61" s="839"/>
      <c r="D61" s="839"/>
      <c r="E61" s="839">
        <v>2500000</v>
      </c>
      <c r="F61" s="839"/>
      <c r="G61" s="839"/>
      <c r="H61" s="839"/>
      <c r="I61" s="840"/>
      <c r="J61" s="840"/>
      <c r="K61" s="840"/>
      <c r="L61" s="840"/>
      <c r="M61" s="840"/>
      <c r="N61" s="1518">
        <f>SUM(E61:M61)</f>
        <v>2500000</v>
      </c>
      <c r="O61" s="288"/>
    </row>
    <row r="62" spans="1:43" s="87" customFormat="1" ht="25.5" x14ac:dyDescent="0.2">
      <c r="A62" s="601" t="s">
        <v>439</v>
      </c>
      <c r="B62" s="456" t="s">
        <v>286</v>
      </c>
      <c r="C62" s="842"/>
      <c r="D62" s="842"/>
      <c r="E62" s="842"/>
      <c r="F62" s="842"/>
      <c r="G62" s="842"/>
      <c r="H62" s="842"/>
      <c r="I62" s="843"/>
      <c r="J62" s="843"/>
      <c r="K62" s="843"/>
      <c r="L62" s="843"/>
      <c r="M62" s="843"/>
      <c r="N62" s="1254"/>
      <c r="O62" s="288"/>
    </row>
    <row r="63" spans="1:43" s="443" customFormat="1" ht="15" customHeight="1" thickBot="1" x14ac:dyDescent="0.25">
      <c r="A63" s="1257"/>
      <c r="B63" s="1204" t="s">
        <v>349</v>
      </c>
      <c r="C63" s="837"/>
      <c r="D63" s="837"/>
      <c r="E63" s="837"/>
      <c r="F63" s="837"/>
      <c r="G63" s="837"/>
      <c r="H63" s="837"/>
      <c r="I63" s="838">
        <f>SUM('6.b.sz.melléklet'!B13+'6.b.sz.melléklet'!B19)+'6.b.sz.melléklet'!B32</f>
        <v>1620000</v>
      </c>
      <c r="J63" s="838"/>
      <c r="K63" s="838"/>
      <c r="L63" s="838"/>
      <c r="M63" s="838"/>
      <c r="N63" s="1205">
        <f t="shared" si="4"/>
        <v>1620000</v>
      </c>
      <c r="O63" s="288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</row>
    <row r="64" spans="1:43" s="87" customFormat="1" ht="13.5" thickBot="1" x14ac:dyDescent="0.25">
      <c r="A64" s="589"/>
      <c r="B64" s="588" t="s">
        <v>350</v>
      </c>
      <c r="C64" s="839"/>
      <c r="D64" s="839"/>
      <c r="E64" s="839"/>
      <c r="F64" s="839"/>
      <c r="G64" s="839"/>
      <c r="H64" s="839"/>
      <c r="I64" s="840">
        <f>SUM(I63)</f>
        <v>1620000</v>
      </c>
      <c r="J64" s="840"/>
      <c r="K64" s="840"/>
      <c r="L64" s="840"/>
      <c r="M64" s="840"/>
      <c r="N64" s="1518">
        <f t="shared" si="4"/>
        <v>1620000</v>
      </c>
      <c r="O64" s="288"/>
    </row>
    <row r="65" spans="1:43" s="87" customFormat="1" ht="15" customHeight="1" x14ac:dyDescent="0.2">
      <c r="A65" s="601" t="s">
        <v>259</v>
      </c>
      <c r="B65" s="456" t="s">
        <v>260</v>
      </c>
      <c r="C65" s="842"/>
      <c r="D65" s="842"/>
      <c r="E65" s="842"/>
      <c r="F65" s="842"/>
      <c r="G65" s="842"/>
      <c r="H65" s="842"/>
      <c r="I65" s="843"/>
      <c r="J65" s="843"/>
      <c r="K65" s="843"/>
      <c r="L65" s="843"/>
      <c r="M65" s="843"/>
      <c r="N65" s="1254"/>
      <c r="O65" s="288"/>
    </row>
    <row r="66" spans="1:43" s="443" customFormat="1" ht="15" customHeight="1" thickBot="1" x14ac:dyDescent="0.25">
      <c r="A66" s="1257"/>
      <c r="B66" s="1204" t="s">
        <v>349</v>
      </c>
      <c r="C66" s="837"/>
      <c r="D66" s="837"/>
      <c r="E66" s="837">
        <v>4900000</v>
      </c>
      <c r="F66" s="837"/>
      <c r="G66" s="837"/>
      <c r="H66" s="837"/>
      <c r="I66" s="838"/>
      <c r="J66" s="838"/>
      <c r="K66" s="838"/>
      <c r="L66" s="838"/>
      <c r="M66" s="838"/>
      <c r="N66" s="1205">
        <f t="shared" si="4"/>
        <v>4900000</v>
      </c>
      <c r="O66" s="288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</row>
    <row r="67" spans="1:43" s="87" customFormat="1" ht="13.5" thickBot="1" x14ac:dyDescent="0.25">
      <c r="A67" s="589"/>
      <c r="B67" s="588" t="s">
        <v>350</v>
      </c>
      <c r="C67" s="839"/>
      <c r="D67" s="839"/>
      <c r="E67" s="839">
        <f>SUM(E66)</f>
        <v>4900000</v>
      </c>
      <c r="F67" s="839"/>
      <c r="G67" s="839"/>
      <c r="H67" s="839"/>
      <c r="I67" s="840"/>
      <c r="J67" s="840"/>
      <c r="K67" s="840"/>
      <c r="L67" s="840"/>
      <c r="M67" s="840"/>
      <c r="N67" s="1518">
        <f t="shared" si="4"/>
        <v>4900000</v>
      </c>
      <c r="O67" s="288"/>
    </row>
    <row r="68" spans="1:43" s="87" customFormat="1" ht="25.5" x14ac:dyDescent="0.2">
      <c r="A68" s="601" t="s">
        <v>273</v>
      </c>
      <c r="B68" s="456" t="s">
        <v>133</v>
      </c>
      <c r="C68" s="842"/>
      <c r="D68" s="842"/>
      <c r="E68" s="842"/>
      <c r="F68" s="842"/>
      <c r="G68" s="842"/>
      <c r="H68" s="842"/>
      <c r="I68" s="843"/>
      <c r="J68" s="843"/>
      <c r="K68" s="843"/>
      <c r="L68" s="843"/>
      <c r="M68" s="843"/>
      <c r="N68" s="1254"/>
      <c r="O68" s="288"/>
    </row>
    <row r="69" spans="1:43" s="443" customFormat="1" ht="15" customHeight="1" thickBot="1" x14ac:dyDescent="0.25">
      <c r="A69" s="1257"/>
      <c r="B69" s="1204" t="s">
        <v>349</v>
      </c>
      <c r="C69" s="837"/>
      <c r="D69" s="837"/>
      <c r="E69" s="837"/>
      <c r="F69" s="837"/>
      <c r="G69" s="837"/>
      <c r="H69" s="837"/>
      <c r="I69" s="838">
        <f>SUM('6.b.sz.melléklet'!B9+'6.b.sz.melléklet'!B10+'6.b.sz.melléklet'!B12+'6.b.sz.melléklet'!B16+'6.b.sz.melléklet'!B24+'6.b.sz.melléklet'!B26+'6.b.sz.melléklet'!B28+'6.b.sz.melléklet'!B30+'6.b.sz.melléklet'!B15+'6.b.sz.melléklet'!B20+'6.b.sz.melléklet'!B23+'6.b.sz.melléklet'!B27)+'6.b.sz.melléklet'!B11+'6.b.sz.melléklet'!B36+'6.b.sz.melléklet'!B31</f>
        <v>66632000</v>
      </c>
      <c r="J69" s="838"/>
      <c r="K69" s="838"/>
      <c r="L69" s="838"/>
      <c r="M69" s="838"/>
      <c r="N69" s="1205">
        <f t="shared" si="4"/>
        <v>66632000</v>
      </c>
      <c r="O69" s="288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</row>
    <row r="70" spans="1:43" s="87" customFormat="1" ht="13.5" thickBot="1" x14ac:dyDescent="0.25">
      <c r="A70" s="589"/>
      <c r="B70" s="588" t="s">
        <v>350</v>
      </c>
      <c r="C70" s="839"/>
      <c r="D70" s="839"/>
      <c r="E70" s="839"/>
      <c r="F70" s="839"/>
      <c r="G70" s="839"/>
      <c r="H70" s="839"/>
      <c r="I70" s="840">
        <f>SUM(I69)</f>
        <v>66632000</v>
      </c>
      <c r="J70" s="840"/>
      <c r="K70" s="840"/>
      <c r="L70" s="840"/>
      <c r="M70" s="840"/>
      <c r="N70" s="1518">
        <f t="shared" si="4"/>
        <v>66632000</v>
      </c>
      <c r="O70" s="288"/>
    </row>
    <row r="71" spans="1:43" s="87" customFormat="1" ht="25.5" x14ac:dyDescent="0.2">
      <c r="A71" s="601" t="s">
        <v>274</v>
      </c>
      <c r="B71" s="456" t="s">
        <v>275</v>
      </c>
      <c r="C71" s="842"/>
      <c r="D71" s="842"/>
      <c r="E71" s="842"/>
      <c r="F71" s="842"/>
      <c r="G71" s="842"/>
      <c r="H71" s="842"/>
      <c r="I71" s="843"/>
      <c r="J71" s="843"/>
      <c r="K71" s="843"/>
      <c r="L71" s="843"/>
      <c r="M71" s="843"/>
      <c r="N71" s="1254"/>
      <c r="O71" s="288"/>
    </row>
    <row r="72" spans="1:43" s="443" customFormat="1" ht="15" customHeight="1" thickBot="1" x14ac:dyDescent="0.25">
      <c r="A72" s="1257"/>
      <c r="B72" s="1204" t="s">
        <v>349</v>
      </c>
      <c r="C72" s="837"/>
      <c r="D72" s="837"/>
      <c r="E72" s="837"/>
      <c r="F72" s="837"/>
      <c r="G72" s="837"/>
      <c r="H72" s="837"/>
      <c r="I72" s="838">
        <f>'6.b.sz.melléklet'!B17</f>
        <v>9303226</v>
      </c>
      <c r="J72" s="838">
        <f>SUM('6.b.sz.melléklet'!B39)+'6.b.sz.melléklet'!B18</f>
        <v>23080050</v>
      </c>
      <c r="K72" s="838"/>
      <c r="L72" s="838"/>
      <c r="M72" s="838"/>
      <c r="N72" s="1205">
        <f t="shared" si="4"/>
        <v>32383276</v>
      </c>
      <c r="O72" s="288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</row>
    <row r="73" spans="1:43" s="87" customFormat="1" ht="13.5" thickBot="1" x14ac:dyDescent="0.25">
      <c r="A73" s="589"/>
      <c r="B73" s="588" t="s">
        <v>350</v>
      </c>
      <c r="C73" s="839"/>
      <c r="D73" s="839"/>
      <c r="E73" s="839"/>
      <c r="F73" s="839"/>
      <c r="G73" s="839"/>
      <c r="H73" s="839"/>
      <c r="I73" s="1521">
        <f>'6.b.sz.melléklet'!C17</f>
        <v>9303226</v>
      </c>
      <c r="J73" s="840">
        <f>SUM(J72)</f>
        <v>23080050</v>
      </c>
      <c r="K73" s="840"/>
      <c r="L73" s="840"/>
      <c r="M73" s="840"/>
      <c r="N73" s="1518">
        <f t="shared" si="4"/>
        <v>32383276</v>
      </c>
      <c r="O73" s="288"/>
    </row>
    <row r="74" spans="1:43" s="87" customFormat="1" ht="25.5" x14ac:dyDescent="0.2">
      <c r="A74" s="601" t="s">
        <v>377</v>
      </c>
      <c r="B74" s="456" t="s">
        <v>386</v>
      </c>
      <c r="C74" s="842"/>
      <c r="D74" s="842"/>
      <c r="E74" s="842"/>
      <c r="F74" s="842"/>
      <c r="G74" s="842"/>
      <c r="H74" s="842"/>
      <c r="I74" s="843"/>
      <c r="J74" s="843"/>
      <c r="K74" s="843"/>
      <c r="L74" s="843"/>
      <c r="M74" s="843"/>
      <c r="N74" s="1254"/>
      <c r="O74" s="288"/>
    </row>
    <row r="75" spans="1:43" s="443" customFormat="1" ht="15" customHeight="1" thickBot="1" x14ac:dyDescent="0.25">
      <c r="A75" s="1257"/>
      <c r="B75" s="1204" t="s">
        <v>349</v>
      </c>
      <c r="C75" s="837"/>
      <c r="D75" s="837"/>
      <c r="E75" s="837">
        <v>21849000</v>
      </c>
      <c r="F75" s="837"/>
      <c r="G75" s="837"/>
      <c r="H75" s="837"/>
      <c r="I75" s="838"/>
      <c r="J75" s="838"/>
      <c r="K75" s="838"/>
      <c r="L75" s="838"/>
      <c r="M75" s="838"/>
      <c r="N75" s="1205">
        <f t="shared" si="4"/>
        <v>21849000</v>
      </c>
      <c r="O75" s="288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</row>
    <row r="76" spans="1:43" s="87" customFormat="1" ht="13.5" thickBot="1" x14ac:dyDescent="0.25">
      <c r="A76" s="1258"/>
      <c r="B76" s="1252" t="s">
        <v>350</v>
      </c>
      <c r="C76" s="842"/>
      <c r="D76" s="842"/>
      <c r="E76" s="842">
        <f>SUM(E75)</f>
        <v>21849000</v>
      </c>
      <c r="F76" s="842"/>
      <c r="G76" s="842"/>
      <c r="H76" s="842"/>
      <c r="I76" s="843"/>
      <c r="J76" s="843"/>
      <c r="K76" s="843"/>
      <c r="L76" s="843"/>
      <c r="M76" s="843"/>
      <c r="N76" s="1254">
        <f t="shared" si="4"/>
        <v>21849000</v>
      </c>
      <c r="O76" s="288"/>
    </row>
    <row r="77" spans="1:43" s="963" customFormat="1" ht="15" customHeight="1" x14ac:dyDescent="0.2">
      <c r="A77" s="956" t="s">
        <v>503</v>
      </c>
      <c r="B77" s="957" t="s">
        <v>504</v>
      </c>
      <c r="C77" s="959"/>
      <c r="D77" s="959"/>
      <c r="E77" s="959"/>
      <c r="F77" s="959"/>
      <c r="G77" s="959"/>
      <c r="H77" s="959"/>
      <c r="I77" s="960"/>
      <c r="J77" s="960"/>
      <c r="K77" s="960"/>
      <c r="L77" s="960"/>
      <c r="M77" s="960"/>
      <c r="N77" s="961"/>
      <c r="O77" s="962"/>
    </row>
    <row r="78" spans="1:43" s="963" customFormat="1" ht="15" customHeight="1" x14ac:dyDescent="0.2">
      <c r="A78" s="1260"/>
      <c r="B78" s="1204" t="s">
        <v>349</v>
      </c>
      <c r="C78" s="1261"/>
      <c r="D78" s="1261"/>
      <c r="E78" s="1261">
        <v>4499483</v>
      </c>
      <c r="F78" s="1261"/>
      <c r="G78" s="1261"/>
      <c r="H78" s="1261">
        <f>'6.a.sz. melléklet'!G8</f>
        <v>384101433</v>
      </c>
      <c r="I78" s="1262"/>
      <c r="J78" s="1262"/>
      <c r="K78" s="1262"/>
      <c r="L78" s="1262"/>
      <c r="M78" s="1262"/>
      <c r="N78" s="1263">
        <f>SUM(C78:M78)</f>
        <v>388600916</v>
      </c>
      <c r="O78" s="962"/>
    </row>
    <row r="79" spans="1:43" s="963" customFormat="1" ht="15" customHeight="1" thickBot="1" x14ac:dyDescent="0.25">
      <c r="A79" s="958"/>
      <c r="B79" s="313" t="s">
        <v>350</v>
      </c>
      <c r="C79" s="964">
        <v>200000</v>
      </c>
      <c r="D79" s="964">
        <v>35000</v>
      </c>
      <c r="E79" s="964">
        <f>4499483</f>
        <v>4499483</v>
      </c>
      <c r="F79" s="964"/>
      <c r="G79" s="964"/>
      <c r="H79" s="964">
        <f>'6.a.sz. melléklet'!H8</f>
        <v>307011457</v>
      </c>
      <c r="I79" s="965"/>
      <c r="J79" s="965"/>
      <c r="K79" s="965"/>
      <c r="L79" s="965"/>
      <c r="M79" s="965"/>
      <c r="N79" s="1523">
        <f>SUM(C79:M79)</f>
        <v>311745940</v>
      </c>
      <c r="O79" s="962"/>
    </row>
    <row r="80" spans="1:43" s="87" customFormat="1" ht="15" customHeight="1" x14ac:dyDescent="0.2">
      <c r="A80" s="601" t="s">
        <v>435</v>
      </c>
      <c r="B80" s="314" t="s">
        <v>437</v>
      </c>
      <c r="C80" s="842"/>
      <c r="D80" s="842"/>
      <c r="E80" s="842"/>
      <c r="F80" s="842"/>
      <c r="G80" s="842"/>
      <c r="H80" s="842"/>
      <c r="I80" s="843"/>
      <c r="J80" s="843"/>
      <c r="K80" s="843"/>
      <c r="L80" s="843"/>
      <c r="M80" s="843"/>
      <c r="N80" s="1254"/>
      <c r="O80" s="288"/>
    </row>
    <row r="81" spans="1:43" s="87" customFormat="1" ht="15" customHeight="1" x14ac:dyDescent="0.2">
      <c r="A81" s="1257"/>
      <c r="B81" s="1204" t="s">
        <v>349</v>
      </c>
      <c r="C81" s="837"/>
      <c r="D81" s="837"/>
      <c r="E81" s="837">
        <v>603000</v>
      </c>
      <c r="F81" s="837"/>
      <c r="G81" s="837"/>
      <c r="H81" s="837"/>
      <c r="I81" s="838"/>
      <c r="J81" s="838"/>
      <c r="K81" s="838"/>
      <c r="L81" s="838"/>
      <c r="M81" s="838"/>
      <c r="N81" s="1205">
        <f>SUM(C81:M81)</f>
        <v>603000</v>
      </c>
      <c r="O81" s="288"/>
    </row>
    <row r="82" spans="1:43" s="87" customFormat="1" ht="13.5" thickBot="1" x14ac:dyDescent="0.25">
      <c r="A82" s="1519"/>
      <c r="B82" s="313" t="s">
        <v>350</v>
      </c>
      <c r="C82" s="1520"/>
      <c r="D82" s="1520"/>
      <c r="E82" s="1520">
        <f>SUM(E81)</f>
        <v>603000</v>
      </c>
      <c r="F82" s="1520"/>
      <c r="G82" s="1520"/>
      <c r="H82" s="1520"/>
      <c r="I82" s="1521"/>
      <c r="J82" s="1521"/>
      <c r="K82" s="1521"/>
      <c r="L82" s="1521"/>
      <c r="M82" s="1521"/>
      <c r="N82" s="788">
        <f>SUM(C82:M82)</f>
        <v>603000</v>
      </c>
      <c r="O82" s="288"/>
    </row>
    <row r="83" spans="1:43" s="87" customFormat="1" ht="15" customHeight="1" x14ac:dyDescent="0.2">
      <c r="A83" s="601" t="s">
        <v>261</v>
      </c>
      <c r="B83" s="456" t="s">
        <v>111</v>
      </c>
      <c r="C83" s="842"/>
      <c r="D83" s="842"/>
      <c r="E83" s="842"/>
      <c r="F83" s="842"/>
      <c r="G83" s="842"/>
      <c r="H83" s="842"/>
      <c r="I83" s="843"/>
      <c r="J83" s="843"/>
      <c r="K83" s="843"/>
      <c r="L83" s="843"/>
      <c r="M83" s="843"/>
      <c r="N83" s="1254"/>
      <c r="O83" s="288"/>
    </row>
    <row r="84" spans="1:43" s="443" customFormat="1" ht="15" customHeight="1" thickBot="1" x14ac:dyDescent="0.25">
      <c r="A84" s="1257"/>
      <c r="B84" s="1204" t="s">
        <v>349</v>
      </c>
      <c r="C84" s="837"/>
      <c r="D84" s="837"/>
      <c r="E84" s="837">
        <v>1170000</v>
      </c>
      <c r="F84" s="837"/>
      <c r="G84" s="837"/>
      <c r="H84" s="837"/>
      <c r="I84" s="838"/>
      <c r="J84" s="838"/>
      <c r="K84" s="838"/>
      <c r="L84" s="838"/>
      <c r="M84" s="838"/>
      <c r="N84" s="1205">
        <f t="shared" si="4"/>
        <v>1170000</v>
      </c>
      <c r="O84" s="288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</row>
    <row r="85" spans="1:43" s="87" customFormat="1" ht="13.5" thickBot="1" x14ac:dyDescent="0.25">
      <c r="A85" s="589"/>
      <c r="B85" s="588" t="s">
        <v>350</v>
      </c>
      <c r="C85" s="839"/>
      <c r="D85" s="839"/>
      <c r="E85" s="1520">
        <v>1170000</v>
      </c>
      <c r="F85" s="839"/>
      <c r="G85" s="839"/>
      <c r="H85" s="839"/>
      <c r="I85" s="840"/>
      <c r="J85" s="840"/>
      <c r="K85" s="840"/>
      <c r="L85" s="840"/>
      <c r="M85" s="840"/>
      <c r="N85" s="1518">
        <f t="shared" si="4"/>
        <v>1170000</v>
      </c>
      <c r="O85" s="288"/>
    </row>
    <row r="86" spans="1:43" s="87" customFormat="1" ht="25.5" x14ac:dyDescent="0.2">
      <c r="A86" s="601" t="s">
        <v>262</v>
      </c>
      <c r="B86" s="456" t="s">
        <v>263</v>
      </c>
      <c r="C86" s="842"/>
      <c r="D86" s="842"/>
      <c r="E86" s="842"/>
      <c r="F86" s="842"/>
      <c r="G86" s="842"/>
      <c r="H86" s="842"/>
      <c r="I86" s="843"/>
      <c r="J86" s="843"/>
      <c r="K86" s="843"/>
      <c r="L86" s="843"/>
      <c r="M86" s="843"/>
      <c r="N86" s="1254"/>
      <c r="O86" s="288"/>
    </row>
    <row r="87" spans="1:43" s="443" customFormat="1" ht="15" customHeight="1" thickBot="1" x14ac:dyDescent="0.25">
      <c r="A87" s="1257"/>
      <c r="B87" s="1204" t="s">
        <v>349</v>
      </c>
      <c r="C87" s="837"/>
      <c r="D87" s="837"/>
      <c r="E87" s="837"/>
      <c r="F87" s="837">
        <v>500000</v>
      </c>
      <c r="G87" s="837"/>
      <c r="H87" s="837"/>
      <c r="I87" s="838"/>
      <c r="J87" s="838"/>
      <c r="K87" s="838"/>
      <c r="L87" s="838"/>
      <c r="M87" s="838"/>
      <c r="N87" s="1205">
        <f t="shared" si="4"/>
        <v>500000</v>
      </c>
      <c r="O87" s="288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</row>
    <row r="88" spans="1:43" s="87" customFormat="1" ht="13.5" thickBot="1" x14ac:dyDescent="0.25">
      <c r="A88" s="1519"/>
      <c r="B88" s="313" t="s">
        <v>350</v>
      </c>
      <c r="C88" s="1520"/>
      <c r="D88" s="1520"/>
      <c r="E88" s="1520"/>
      <c r="F88" s="1520">
        <f>SUM(F87)</f>
        <v>500000</v>
      </c>
      <c r="G88" s="1520"/>
      <c r="H88" s="1520"/>
      <c r="I88" s="1521"/>
      <c r="J88" s="1521"/>
      <c r="K88" s="1521"/>
      <c r="L88" s="1521"/>
      <c r="M88" s="1521"/>
      <c r="N88" s="788">
        <f t="shared" si="4"/>
        <v>500000</v>
      </c>
      <c r="O88" s="288"/>
    </row>
    <row r="89" spans="1:43" s="87" customFormat="1" x14ac:dyDescent="0.2">
      <c r="A89" s="601" t="s">
        <v>474</v>
      </c>
      <c r="B89" s="456" t="s">
        <v>475</v>
      </c>
      <c r="C89" s="842"/>
      <c r="D89" s="842"/>
      <c r="E89" s="842"/>
      <c r="F89" s="842"/>
      <c r="G89" s="842"/>
      <c r="H89" s="842"/>
      <c r="I89" s="843"/>
      <c r="J89" s="843"/>
      <c r="K89" s="843"/>
      <c r="L89" s="843"/>
      <c r="M89" s="843"/>
      <c r="N89" s="1254"/>
      <c r="O89" s="288"/>
    </row>
    <row r="90" spans="1:43" s="443" customFormat="1" ht="15" customHeight="1" thickBot="1" x14ac:dyDescent="0.25">
      <c r="A90" s="1257"/>
      <c r="B90" s="1204" t="s">
        <v>349</v>
      </c>
      <c r="C90" s="837"/>
      <c r="D90" s="837"/>
      <c r="E90" s="837"/>
      <c r="F90" s="837"/>
      <c r="G90" s="837"/>
      <c r="H90" s="837"/>
      <c r="I90" s="838"/>
      <c r="J90" s="838"/>
      <c r="K90" s="838"/>
      <c r="L90" s="838"/>
      <c r="M90" s="838"/>
      <c r="N90" s="1205">
        <f t="shared" si="4"/>
        <v>0</v>
      </c>
      <c r="O90" s="288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</row>
    <row r="91" spans="1:43" s="87" customFormat="1" ht="13.5" thickBot="1" x14ac:dyDescent="0.25">
      <c r="A91" s="589"/>
      <c r="B91" s="588" t="s">
        <v>350</v>
      </c>
      <c r="C91" s="839"/>
      <c r="D91" s="839"/>
      <c r="E91" s="839"/>
      <c r="F91" s="839"/>
      <c r="G91" s="839"/>
      <c r="H91" s="839"/>
      <c r="I91" s="840"/>
      <c r="J91" s="840"/>
      <c r="K91" s="840"/>
      <c r="L91" s="840"/>
      <c r="M91" s="840"/>
      <c r="N91" s="1518">
        <f t="shared" si="4"/>
        <v>0</v>
      </c>
      <c r="O91" s="288"/>
    </row>
    <row r="92" spans="1:43" s="87" customFormat="1" ht="15" customHeight="1" x14ac:dyDescent="0.2">
      <c r="A92" s="601" t="s">
        <v>264</v>
      </c>
      <c r="B92" s="456" t="s">
        <v>265</v>
      </c>
      <c r="C92" s="842"/>
      <c r="D92" s="842"/>
      <c r="E92" s="842"/>
      <c r="F92" s="842"/>
      <c r="G92" s="842"/>
      <c r="H92" s="842"/>
      <c r="I92" s="843"/>
      <c r="J92" s="843"/>
      <c r="K92" s="843"/>
      <c r="L92" s="843"/>
      <c r="M92" s="843"/>
      <c r="N92" s="1254"/>
      <c r="O92" s="288"/>
    </row>
    <row r="93" spans="1:43" s="443" customFormat="1" ht="15" customHeight="1" thickBot="1" x14ac:dyDescent="0.25">
      <c r="A93" s="1257"/>
      <c r="B93" s="1204" t="s">
        <v>349</v>
      </c>
      <c r="C93" s="837"/>
      <c r="D93" s="837"/>
      <c r="E93" s="837"/>
      <c r="F93" s="837"/>
      <c r="G93" s="837"/>
      <c r="H93" s="837"/>
      <c r="I93" s="838"/>
      <c r="J93" s="838"/>
      <c r="K93" s="838"/>
      <c r="L93" s="838"/>
      <c r="M93" s="838"/>
      <c r="N93" s="1205">
        <f t="shared" si="4"/>
        <v>0</v>
      </c>
      <c r="O93" s="288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7"/>
    </row>
    <row r="94" spans="1:43" s="87" customFormat="1" ht="13.5" thickBot="1" x14ac:dyDescent="0.25">
      <c r="A94" s="589"/>
      <c r="B94" s="588" t="s">
        <v>350</v>
      </c>
      <c r="C94" s="839"/>
      <c r="D94" s="839"/>
      <c r="E94" s="839"/>
      <c r="F94" s="839">
        <f>SUM(F93)</f>
        <v>0</v>
      </c>
      <c r="G94" s="839"/>
      <c r="H94" s="839"/>
      <c r="I94" s="840"/>
      <c r="J94" s="840"/>
      <c r="K94" s="840"/>
      <c r="L94" s="840"/>
      <c r="M94" s="840"/>
      <c r="N94" s="1518">
        <f t="shared" si="4"/>
        <v>0</v>
      </c>
      <c r="O94" s="288"/>
    </row>
    <row r="95" spans="1:43" s="87" customFormat="1" ht="15" customHeight="1" x14ac:dyDescent="0.2">
      <c r="A95" s="601" t="s">
        <v>420</v>
      </c>
      <c r="B95" s="314" t="s">
        <v>421</v>
      </c>
      <c r="C95" s="842"/>
      <c r="D95" s="842"/>
      <c r="E95" s="842"/>
      <c r="F95" s="842"/>
      <c r="G95" s="842"/>
      <c r="H95" s="842"/>
      <c r="I95" s="843"/>
      <c r="J95" s="843"/>
      <c r="K95" s="843"/>
      <c r="L95" s="843"/>
      <c r="M95" s="843"/>
      <c r="N95" s="1254"/>
      <c r="O95" s="288"/>
    </row>
    <row r="96" spans="1:43" s="443" customFormat="1" ht="13.5" thickBot="1" x14ac:dyDescent="0.25">
      <c r="A96" s="1257"/>
      <c r="B96" s="1204" t="s">
        <v>349</v>
      </c>
      <c r="C96" s="837">
        <v>24000</v>
      </c>
      <c r="D96" s="837"/>
      <c r="E96" s="837"/>
      <c r="F96" s="837"/>
      <c r="G96" s="837"/>
      <c r="H96" s="837"/>
      <c r="I96" s="838"/>
      <c r="J96" s="838"/>
      <c r="K96" s="838"/>
      <c r="L96" s="838"/>
      <c r="M96" s="838"/>
      <c r="N96" s="1205">
        <f>SUM(C96:M96)</f>
        <v>24000</v>
      </c>
      <c r="O96" s="288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</row>
    <row r="97" spans="1:43" s="87" customFormat="1" ht="13.5" thickBot="1" x14ac:dyDescent="0.25">
      <c r="A97" s="589"/>
      <c r="B97" s="588" t="s">
        <v>350</v>
      </c>
      <c r="C97" s="839">
        <f>SUM(C96)</f>
        <v>24000</v>
      </c>
      <c r="D97" s="839"/>
      <c r="E97" s="839"/>
      <c r="F97" s="839"/>
      <c r="G97" s="839"/>
      <c r="H97" s="839"/>
      <c r="I97" s="840"/>
      <c r="J97" s="840"/>
      <c r="K97" s="840"/>
      <c r="L97" s="840"/>
      <c r="M97" s="840"/>
      <c r="N97" s="1518">
        <f>SUM(C97:M97)</f>
        <v>24000</v>
      </c>
      <c r="O97" s="288"/>
    </row>
    <row r="98" spans="1:43" s="87" customFormat="1" ht="28.5" customHeight="1" x14ac:dyDescent="0.2">
      <c r="A98" s="601" t="s">
        <v>266</v>
      </c>
      <c r="B98" s="456" t="s">
        <v>267</v>
      </c>
      <c r="C98" s="842"/>
      <c r="D98" s="842"/>
      <c r="E98" s="842"/>
      <c r="F98" s="842"/>
      <c r="G98" s="842"/>
      <c r="H98" s="842"/>
      <c r="I98" s="843"/>
      <c r="J98" s="843"/>
      <c r="K98" s="843"/>
      <c r="L98" s="843"/>
      <c r="M98" s="843"/>
      <c r="N98" s="1254"/>
      <c r="O98" s="288"/>
    </row>
    <row r="99" spans="1:43" s="443" customFormat="1" ht="15" customHeight="1" thickBot="1" x14ac:dyDescent="0.25">
      <c r="A99" s="1257"/>
      <c r="B99" s="1204" t="s">
        <v>349</v>
      </c>
      <c r="C99" s="837"/>
      <c r="D99" s="837"/>
      <c r="E99" s="837"/>
      <c r="F99" s="837">
        <v>23396000</v>
      </c>
      <c r="G99" s="837"/>
      <c r="H99" s="837"/>
      <c r="I99" s="838">
        <f>'6.b.sz.melléklet'!B29</f>
        <v>1000000</v>
      </c>
      <c r="J99" s="838"/>
      <c r="K99" s="838"/>
      <c r="L99" s="838"/>
      <c r="M99" s="838"/>
      <c r="N99" s="1205">
        <f t="shared" ref="N99:N103" si="6">SUM(C99:M99)</f>
        <v>24396000</v>
      </c>
      <c r="O99" s="288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</row>
    <row r="100" spans="1:43" s="87" customFormat="1" ht="13.5" thickBot="1" x14ac:dyDescent="0.25">
      <c r="A100" s="589"/>
      <c r="B100" s="588" t="s">
        <v>350</v>
      </c>
      <c r="C100" s="839"/>
      <c r="D100" s="839"/>
      <c r="E100" s="839"/>
      <c r="F100" s="839">
        <f>SUM(F99)</f>
        <v>23396000</v>
      </c>
      <c r="G100" s="839"/>
      <c r="H100" s="839"/>
      <c r="I100" s="1521">
        <f>'6.b.sz.melléklet'!C29</f>
        <v>1000000</v>
      </c>
      <c r="J100" s="840"/>
      <c r="K100" s="840"/>
      <c r="L100" s="840"/>
      <c r="M100" s="840"/>
      <c r="N100" s="1518">
        <f t="shared" si="6"/>
        <v>24396000</v>
      </c>
      <c r="O100" s="288"/>
    </row>
    <row r="101" spans="1:43" s="87" customFormat="1" ht="15" customHeight="1" x14ac:dyDescent="0.2">
      <c r="A101" s="601" t="s">
        <v>272</v>
      </c>
      <c r="B101" s="456" t="s">
        <v>107</v>
      </c>
      <c r="C101" s="842"/>
      <c r="D101" s="842"/>
      <c r="E101" s="842"/>
      <c r="F101" s="842"/>
      <c r="G101" s="842"/>
      <c r="H101" s="842"/>
      <c r="I101" s="843"/>
      <c r="J101" s="843"/>
      <c r="K101" s="843"/>
      <c r="L101" s="843"/>
      <c r="M101" s="843"/>
      <c r="N101" s="844"/>
      <c r="O101" s="288"/>
    </row>
    <row r="102" spans="1:43" s="443" customFormat="1" ht="15" customHeight="1" thickBot="1" x14ac:dyDescent="0.25">
      <c r="A102" s="1257"/>
      <c r="B102" s="1204" t="s">
        <v>349</v>
      </c>
      <c r="C102" s="837"/>
      <c r="D102" s="837"/>
      <c r="E102" s="837"/>
      <c r="F102" s="837"/>
      <c r="G102" s="837"/>
      <c r="H102" s="837"/>
      <c r="I102" s="838"/>
      <c r="J102" s="838"/>
      <c r="K102" s="838"/>
      <c r="L102" s="838"/>
      <c r="M102" s="838"/>
      <c r="N102" s="1205">
        <f t="shared" si="6"/>
        <v>0</v>
      </c>
      <c r="O102" s="288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</row>
    <row r="103" spans="1:43" s="87" customFormat="1" x14ac:dyDescent="0.2">
      <c r="A103" s="1258"/>
      <c r="B103" s="1252" t="s">
        <v>350</v>
      </c>
      <c r="C103" s="842"/>
      <c r="D103" s="842"/>
      <c r="E103" s="842"/>
      <c r="F103" s="842"/>
      <c r="G103" s="842"/>
      <c r="H103" s="842"/>
      <c r="I103" s="843"/>
      <c r="J103" s="843"/>
      <c r="K103" s="843"/>
      <c r="L103" s="843"/>
      <c r="M103" s="843">
        <v>65995335</v>
      </c>
      <c r="N103" s="1254">
        <f t="shared" si="6"/>
        <v>65995335</v>
      </c>
      <c r="O103" s="288"/>
    </row>
    <row r="104" spans="1:43" s="87" customFormat="1" ht="13.5" thickBot="1" x14ac:dyDescent="0.25">
      <c r="A104" s="1026"/>
      <c r="B104" s="1027" t="s">
        <v>407</v>
      </c>
      <c r="C104" s="1028">
        <f t="shared" ref="C104:M104" si="7">C6+C9+C18+C21+C24+C27+C30+C33+C36+C39+C45+C48+C51+C54+C57+C63+C66+C69+C72+C75+C84+C87+C90+C93++C99+C102+C42+C96+C12+C81+C15+C78</f>
        <v>54310000</v>
      </c>
      <c r="D104" s="1028">
        <f t="shared" si="7"/>
        <v>10589000</v>
      </c>
      <c r="E104" s="1028">
        <f t="shared" si="7"/>
        <v>215300483</v>
      </c>
      <c r="F104" s="1028">
        <f t="shared" si="7"/>
        <v>23896000</v>
      </c>
      <c r="G104" s="1028">
        <f t="shared" si="7"/>
        <v>238086912</v>
      </c>
      <c r="H104" s="1028">
        <f t="shared" si="7"/>
        <v>743025714</v>
      </c>
      <c r="I104" s="1028">
        <f t="shared" si="7"/>
        <v>142159607</v>
      </c>
      <c r="J104" s="1028">
        <f t="shared" si="7"/>
        <v>23080050</v>
      </c>
      <c r="K104" s="1028">
        <f t="shared" si="7"/>
        <v>54155707.555555582</v>
      </c>
      <c r="L104" s="1028">
        <f t="shared" si="7"/>
        <v>26500000</v>
      </c>
      <c r="M104" s="1028">
        <f t="shared" si="7"/>
        <v>471317843</v>
      </c>
      <c r="N104" s="1028">
        <f>N6+N9+N18+N21+N24+N27+N30+N33+N36+N39+N45+N48+N51+N54+N57+N63+N66+N69+N72+N75+N84+N87+N90+N93++N99+N102+N42+N96+N12+N81+N15+N78</f>
        <v>2002421316.5555556</v>
      </c>
      <c r="O104" s="448"/>
      <c r="P104" s="444"/>
    </row>
    <row r="105" spans="1:43" s="87" customFormat="1" x14ac:dyDescent="0.2">
      <c r="A105" s="1927"/>
      <c r="B105" s="1928" t="s">
        <v>357</v>
      </c>
      <c r="C105" s="1929">
        <f>C7+C10+C13+C16+C19+C22+C25+C28+C31+C34+C37+C40+C43+C46+C49+C52+C55+C58+C64+C67+C70+C73+C76+C79+C82+C85+C88+C91+C94+C97+C100+C103+C61</f>
        <v>55268400</v>
      </c>
      <c r="D105" s="1929">
        <f t="shared" ref="D105:L105" si="8">D7+D10+D13+D16+D19+D22+D25+D28+D31+D34+D37+D40+D43+D46+D49+D52+D55+D58+D64+D67+D70+D73+D76+D79+D82+D85+D88+D91+D94+D97+D100+D103+D61</f>
        <v>10757000</v>
      </c>
      <c r="E105" s="1929">
        <f t="shared" si="8"/>
        <v>295166501</v>
      </c>
      <c r="F105" s="1929">
        <f t="shared" si="8"/>
        <v>23896000</v>
      </c>
      <c r="G105" s="1929">
        <f t="shared" si="8"/>
        <v>238086912</v>
      </c>
      <c r="H105" s="1929">
        <f t="shared" si="8"/>
        <v>665935738</v>
      </c>
      <c r="I105" s="1929">
        <f t="shared" si="8"/>
        <v>142159607</v>
      </c>
      <c r="J105" s="1929">
        <f t="shared" si="8"/>
        <v>23080050</v>
      </c>
      <c r="K105" s="1929">
        <f t="shared" si="8"/>
        <v>21334155</v>
      </c>
      <c r="L105" s="1929">
        <f t="shared" si="8"/>
        <v>3571800</v>
      </c>
      <c r="M105" s="1929">
        <f>M7+M10+M13+M16+M19+M22+M25+M28+M31+M34+M37+M40+M43+M46+M49+M52+M55+M58+M64+M67+M70+M73+M76+M79+M82+M85+M88+M91+M94+M97+M100+M103+M61</f>
        <v>593128052</v>
      </c>
      <c r="N105" s="1929">
        <f>N7+N10+N13+N16+N19+N22+N25+N28+N31+N34+N37+N40+N43+N46+N49+N52+N55+N58+N64+N67+N70+N73+N76+N79+N82+N85+N88+N91+N94+N97+N100+N103+N61</f>
        <v>2072384215</v>
      </c>
      <c r="O105" s="448">
        <v>1642801</v>
      </c>
      <c r="P105" s="267">
        <f>SUM(C105:M105)</f>
        <v>2072384215</v>
      </c>
    </row>
    <row r="106" spans="1:43" ht="13.5" thickBot="1" x14ac:dyDescent="0.25">
      <c r="A106" s="602"/>
      <c r="B106" s="315"/>
      <c r="C106" s="343"/>
      <c r="D106" s="343"/>
      <c r="E106" s="343"/>
      <c r="F106" s="343"/>
      <c r="G106" s="343"/>
      <c r="H106" s="343"/>
      <c r="I106" s="343"/>
      <c r="J106" s="343"/>
      <c r="K106" s="343"/>
      <c r="L106" s="343"/>
      <c r="M106" s="343"/>
      <c r="N106" s="603"/>
    </row>
    <row r="107" spans="1:43" ht="15" customHeight="1" x14ac:dyDescent="0.2">
      <c r="C107" s="324"/>
      <c r="D107" s="324"/>
      <c r="E107" s="324"/>
      <c r="F107" s="324"/>
      <c r="G107" s="324"/>
      <c r="H107" s="324"/>
      <c r="I107" s="324"/>
      <c r="J107" s="324"/>
      <c r="K107" s="324"/>
      <c r="L107" s="324"/>
      <c r="M107" s="324"/>
      <c r="N107" s="605"/>
      <c r="O107" s="127"/>
    </row>
    <row r="108" spans="1:43" ht="15" customHeight="1" x14ac:dyDescent="0.2">
      <c r="C108" s="324"/>
      <c r="D108" s="324"/>
      <c r="E108" s="324"/>
      <c r="F108" s="324"/>
      <c r="G108" s="324"/>
      <c r="H108" s="324"/>
      <c r="I108" s="324"/>
      <c r="J108" s="324"/>
      <c r="K108" s="324"/>
      <c r="L108" s="324"/>
      <c r="M108" s="324"/>
      <c r="N108" s="324"/>
      <c r="O108" s="127"/>
    </row>
    <row r="109" spans="1:43" x14ac:dyDescent="0.2">
      <c r="C109" s="324"/>
      <c r="D109" s="324"/>
      <c r="E109" s="324"/>
      <c r="F109" s="324"/>
      <c r="G109" s="324"/>
      <c r="H109" s="324"/>
      <c r="I109" s="324"/>
      <c r="J109" s="324"/>
      <c r="K109" s="324"/>
      <c r="L109" s="324"/>
      <c r="M109" s="324"/>
      <c r="N109" s="324"/>
      <c r="O109" s="127"/>
    </row>
    <row r="110" spans="1:43" x14ac:dyDescent="0.2">
      <c r="C110" s="324"/>
      <c r="D110" s="324"/>
      <c r="E110" s="324"/>
      <c r="F110" s="324"/>
      <c r="G110" s="324"/>
      <c r="H110" s="324"/>
      <c r="I110" s="324"/>
      <c r="J110" s="324"/>
      <c r="K110" s="324"/>
      <c r="L110" s="324"/>
      <c r="M110" s="324"/>
      <c r="N110" s="324"/>
      <c r="O110" s="127"/>
    </row>
    <row r="111" spans="1:43" x14ac:dyDescent="0.2">
      <c r="C111" s="324"/>
      <c r="D111" s="324"/>
      <c r="E111" s="324"/>
      <c r="F111" s="324"/>
      <c r="G111" s="324"/>
      <c r="H111" s="324"/>
      <c r="I111" s="324"/>
      <c r="J111" s="324"/>
      <c r="K111" s="324"/>
      <c r="L111" s="324"/>
      <c r="M111" s="324"/>
      <c r="N111" s="324"/>
      <c r="O111" s="127"/>
    </row>
    <row r="112" spans="1:43" x14ac:dyDescent="0.2">
      <c r="C112" s="324"/>
      <c r="D112" s="324"/>
      <c r="E112" s="324"/>
      <c r="F112" s="324"/>
      <c r="G112" s="324"/>
      <c r="H112" s="324"/>
      <c r="I112" s="324"/>
      <c r="J112" s="324"/>
      <c r="K112" s="324"/>
      <c r="L112" s="324"/>
      <c r="M112" s="324"/>
      <c r="N112" s="324"/>
      <c r="O112" s="127"/>
    </row>
    <row r="113" spans="3:15" x14ac:dyDescent="0.2">
      <c r="C113" s="324"/>
      <c r="D113" s="324"/>
      <c r="E113" s="324"/>
      <c r="F113" s="324"/>
      <c r="G113" s="324"/>
      <c r="H113" s="324"/>
      <c r="I113" s="324"/>
      <c r="J113" s="324"/>
      <c r="K113" s="324"/>
      <c r="L113" s="324"/>
      <c r="M113" s="324"/>
      <c r="N113" s="324"/>
      <c r="O113" s="127"/>
    </row>
    <row r="114" spans="3:15" x14ac:dyDescent="0.2">
      <c r="C114" s="324"/>
      <c r="D114" s="324"/>
      <c r="E114" s="324"/>
      <c r="F114" s="324"/>
      <c r="G114" s="324"/>
      <c r="H114" s="324"/>
      <c r="I114" s="324"/>
      <c r="J114" s="324"/>
      <c r="K114" s="324"/>
      <c r="L114" s="324"/>
      <c r="M114" s="324"/>
      <c r="N114" s="324"/>
      <c r="O114" s="127"/>
    </row>
    <row r="115" spans="3:15" x14ac:dyDescent="0.2">
      <c r="C115" s="324"/>
      <c r="D115" s="324"/>
      <c r="E115" s="324"/>
      <c r="F115" s="324"/>
      <c r="G115" s="324"/>
      <c r="H115" s="324"/>
      <c r="I115" s="324"/>
      <c r="J115" s="324"/>
      <c r="K115" s="324"/>
      <c r="L115" s="324"/>
      <c r="M115" s="324"/>
      <c r="N115" s="324"/>
      <c r="O115" s="127"/>
    </row>
    <row r="116" spans="3:15" x14ac:dyDescent="0.2">
      <c r="C116" s="324"/>
      <c r="D116" s="324"/>
      <c r="E116" s="324"/>
      <c r="F116" s="324"/>
      <c r="G116" s="324"/>
      <c r="H116" s="324"/>
      <c r="I116" s="324"/>
      <c r="J116" s="324"/>
      <c r="K116" s="324"/>
      <c r="L116" s="324"/>
      <c r="M116" s="324"/>
      <c r="N116" s="324"/>
      <c r="O116" s="127"/>
    </row>
    <row r="117" spans="3:15" x14ac:dyDescent="0.2">
      <c r="C117" s="324"/>
      <c r="D117" s="324"/>
      <c r="E117" s="324"/>
      <c r="F117" s="324"/>
      <c r="G117" s="324"/>
      <c r="H117" s="324"/>
      <c r="I117" s="324"/>
      <c r="J117" s="324"/>
      <c r="K117" s="324"/>
      <c r="L117" s="324"/>
      <c r="M117" s="324"/>
      <c r="N117" s="324"/>
      <c r="O117" s="127"/>
    </row>
    <row r="118" spans="3:15" x14ac:dyDescent="0.2">
      <c r="C118" s="324"/>
      <c r="D118" s="324"/>
      <c r="E118" s="324"/>
      <c r="F118" s="324"/>
      <c r="G118" s="324"/>
      <c r="H118" s="324"/>
      <c r="I118" s="324"/>
      <c r="J118" s="324"/>
      <c r="K118" s="324"/>
      <c r="L118" s="324"/>
      <c r="M118" s="324"/>
      <c r="N118" s="324"/>
      <c r="O118" s="127"/>
    </row>
    <row r="119" spans="3:15" x14ac:dyDescent="0.2">
      <c r="C119" s="324"/>
      <c r="D119" s="324"/>
      <c r="E119" s="324"/>
      <c r="F119" s="324"/>
      <c r="G119" s="324"/>
      <c r="H119" s="324"/>
      <c r="I119" s="324"/>
      <c r="J119" s="324"/>
      <c r="K119" s="324"/>
      <c r="L119" s="324"/>
      <c r="M119" s="324"/>
      <c r="N119" s="324"/>
      <c r="O119" s="127"/>
    </row>
    <row r="120" spans="3:15" x14ac:dyDescent="0.2">
      <c r="C120" s="324"/>
      <c r="D120" s="324"/>
      <c r="E120" s="324"/>
      <c r="F120" s="324"/>
      <c r="G120" s="324"/>
      <c r="H120" s="324"/>
      <c r="I120" s="324"/>
      <c r="J120" s="324"/>
      <c r="K120" s="324"/>
      <c r="L120" s="324"/>
      <c r="M120" s="324"/>
      <c r="N120" s="324"/>
      <c r="O120" s="127"/>
    </row>
    <row r="121" spans="3:15" x14ac:dyDescent="0.2">
      <c r="C121" s="324"/>
      <c r="D121" s="324"/>
      <c r="E121" s="324"/>
      <c r="F121" s="324"/>
      <c r="G121" s="324"/>
      <c r="H121" s="324"/>
      <c r="I121" s="324"/>
      <c r="J121" s="324"/>
      <c r="K121" s="324"/>
      <c r="L121" s="324"/>
      <c r="M121" s="324"/>
      <c r="N121" s="324"/>
      <c r="O121" s="127"/>
    </row>
    <row r="122" spans="3:15" x14ac:dyDescent="0.2">
      <c r="C122" s="324"/>
      <c r="D122" s="324"/>
      <c r="E122" s="324"/>
      <c r="F122" s="324"/>
      <c r="G122" s="324"/>
      <c r="H122" s="324"/>
      <c r="I122" s="324"/>
      <c r="J122" s="324"/>
      <c r="K122" s="324"/>
      <c r="L122" s="324"/>
      <c r="M122" s="324"/>
      <c r="N122" s="324"/>
      <c r="O122" s="127"/>
    </row>
    <row r="123" spans="3:15" x14ac:dyDescent="0.2">
      <c r="C123" s="324"/>
      <c r="D123" s="324"/>
      <c r="E123" s="324"/>
      <c r="F123" s="324"/>
      <c r="G123" s="324"/>
      <c r="H123" s="324"/>
      <c r="I123" s="324"/>
      <c r="J123" s="324"/>
      <c r="K123" s="324"/>
      <c r="L123" s="324"/>
      <c r="M123" s="324"/>
      <c r="N123" s="324"/>
      <c r="O123" s="127"/>
    </row>
    <row r="124" spans="3:15" x14ac:dyDescent="0.2">
      <c r="C124" s="324"/>
      <c r="D124" s="324"/>
      <c r="E124" s="324"/>
      <c r="F124" s="324"/>
      <c r="G124" s="324"/>
      <c r="H124" s="324"/>
      <c r="I124" s="324"/>
      <c r="J124" s="324"/>
      <c r="K124" s="324"/>
      <c r="L124" s="324"/>
      <c r="M124" s="324"/>
      <c r="N124" s="324"/>
      <c r="O124" s="127"/>
    </row>
    <row r="125" spans="3:15" x14ac:dyDescent="0.2">
      <c r="C125" s="324"/>
      <c r="D125" s="324"/>
      <c r="E125" s="324"/>
      <c r="F125" s="324"/>
      <c r="G125" s="324"/>
      <c r="H125" s="324"/>
      <c r="I125" s="324"/>
      <c r="J125" s="324"/>
      <c r="K125" s="324"/>
      <c r="L125" s="324"/>
      <c r="M125" s="324"/>
      <c r="N125" s="324"/>
      <c r="O125" s="127"/>
    </row>
    <row r="126" spans="3:15" x14ac:dyDescent="0.2">
      <c r="C126" s="324"/>
      <c r="D126" s="324"/>
      <c r="E126" s="324"/>
      <c r="F126" s="324"/>
      <c r="G126" s="324"/>
      <c r="H126" s="324"/>
      <c r="I126" s="324"/>
      <c r="J126" s="324"/>
      <c r="K126" s="324"/>
      <c r="L126" s="324"/>
      <c r="M126" s="324"/>
      <c r="N126" s="324"/>
      <c r="O126" s="127"/>
    </row>
    <row r="127" spans="3:15" x14ac:dyDescent="0.2">
      <c r="C127" s="324"/>
      <c r="D127" s="324"/>
      <c r="E127" s="324"/>
      <c r="F127" s="324"/>
      <c r="G127" s="324"/>
      <c r="H127" s="324"/>
      <c r="I127" s="324"/>
      <c r="J127" s="324"/>
      <c r="K127" s="324"/>
      <c r="L127" s="324"/>
      <c r="M127" s="324"/>
      <c r="N127" s="324"/>
      <c r="O127" s="127"/>
    </row>
    <row r="128" spans="3:15" ht="15" customHeight="1" x14ac:dyDescent="0.2">
      <c r="C128" s="324"/>
      <c r="D128" s="324"/>
      <c r="E128" s="324"/>
      <c r="F128" s="324"/>
      <c r="G128" s="324"/>
      <c r="H128" s="324"/>
      <c r="I128" s="324"/>
      <c r="J128" s="324"/>
      <c r="K128" s="324"/>
      <c r="L128" s="324"/>
      <c r="M128" s="324"/>
      <c r="N128" s="324"/>
      <c r="O128" s="127"/>
    </row>
    <row r="129" spans="3:15" ht="15" customHeight="1" x14ac:dyDescent="0.2">
      <c r="C129" s="324"/>
      <c r="D129" s="324"/>
      <c r="E129" s="324"/>
      <c r="F129" s="324"/>
      <c r="G129" s="324"/>
      <c r="H129" s="324"/>
      <c r="I129" s="324"/>
      <c r="J129" s="324"/>
      <c r="K129" s="324"/>
      <c r="L129" s="324"/>
      <c r="M129" s="324"/>
      <c r="N129" s="324"/>
      <c r="O129" s="127"/>
    </row>
    <row r="130" spans="3:15" ht="15" customHeight="1" x14ac:dyDescent="0.2">
      <c r="C130" s="324"/>
      <c r="D130" s="324"/>
      <c r="E130" s="324"/>
      <c r="F130" s="324"/>
      <c r="G130" s="324"/>
      <c r="H130" s="324"/>
      <c r="I130" s="324"/>
      <c r="J130" s="324"/>
      <c r="K130" s="324"/>
      <c r="L130" s="324"/>
      <c r="M130" s="324"/>
      <c r="N130" s="324"/>
      <c r="O130" s="127"/>
    </row>
    <row r="131" spans="3:15" ht="15" customHeight="1" x14ac:dyDescent="0.2">
      <c r="C131" s="324"/>
      <c r="D131" s="324"/>
      <c r="E131" s="324"/>
      <c r="F131" s="324"/>
      <c r="G131" s="324"/>
      <c r="H131" s="324"/>
      <c r="I131" s="324"/>
      <c r="J131" s="324"/>
      <c r="K131" s="324"/>
      <c r="L131" s="324"/>
      <c r="M131" s="324"/>
      <c r="N131" s="324"/>
      <c r="O131" s="127"/>
    </row>
    <row r="132" spans="3:15" ht="15" customHeight="1" x14ac:dyDescent="0.2">
      <c r="C132" s="324"/>
      <c r="D132" s="324"/>
      <c r="E132" s="324"/>
      <c r="F132" s="324"/>
      <c r="G132" s="324"/>
      <c r="H132" s="324"/>
      <c r="I132" s="324"/>
      <c r="J132" s="324"/>
      <c r="K132" s="324"/>
      <c r="L132" s="324"/>
      <c r="M132" s="324"/>
      <c r="N132" s="324"/>
      <c r="O132" s="127"/>
    </row>
    <row r="133" spans="3:15" ht="15" customHeight="1" x14ac:dyDescent="0.2">
      <c r="C133" s="324"/>
      <c r="D133" s="324"/>
      <c r="E133" s="324"/>
      <c r="F133" s="324"/>
      <c r="G133" s="324"/>
      <c r="H133" s="324"/>
      <c r="I133" s="324"/>
      <c r="J133" s="324"/>
      <c r="K133" s="324"/>
      <c r="L133" s="324"/>
      <c r="M133" s="324"/>
      <c r="N133" s="324"/>
      <c r="O133" s="127"/>
    </row>
    <row r="134" spans="3:15" ht="15" customHeight="1" x14ac:dyDescent="0.2">
      <c r="C134" s="324"/>
      <c r="D134" s="324"/>
      <c r="E134" s="324"/>
      <c r="F134" s="324"/>
      <c r="G134" s="324"/>
      <c r="H134" s="324"/>
      <c r="I134" s="324"/>
      <c r="J134" s="324"/>
      <c r="K134" s="324"/>
      <c r="L134" s="324"/>
      <c r="M134" s="324"/>
      <c r="N134" s="324"/>
      <c r="O134" s="127"/>
    </row>
    <row r="135" spans="3:15" ht="15" customHeight="1" x14ac:dyDescent="0.2">
      <c r="C135" s="324"/>
      <c r="D135" s="324"/>
      <c r="E135" s="324"/>
      <c r="F135" s="324"/>
      <c r="G135" s="324"/>
      <c r="H135" s="324"/>
      <c r="I135" s="324"/>
      <c r="J135" s="324"/>
      <c r="K135" s="324"/>
      <c r="L135" s="324"/>
      <c r="M135" s="324"/>
      <c r="N135" s="324"/>
      <c r="O135" s="127"/>
    </row>
    <row r="136" spans="3:15" ht="15" customHeight="1" x14ac:dyDescent="0.2">
      <c r="C136" s="324"/>
      <c r="D136" s="324"/>
      <c r="E136" s="324"/>
      <c r="F136" s="324"/>
      <c r="G136" s="324"/>
      <c r="H136" s="324"/>
      <c r="I136" s="324"/>
      <c r="J136" s="324"/>
      <c r="K136" s="324"/>
      <c r="L136" s="324"/>
      <c r="M136" s="324"/>
      <c r="N136" s="324"/>
      <c r="O136" s="127"/>
    </row>
    <row r="137" spans="3:15" ht="15" customHeight="1" x14ac:dyDescent="0.2">
      <c r="C137" s="324"/>
      <c r="D137" s="324"/>
      <c r="E137" s="324"/>
      <c r="F137" s="324"/>
      <c r="G137" s="324"/>
      <c r="H137" s="324"/>
      <c r="I137" s="324"/>
      <c r="J137" s="324"/>
      <c r="K137" s="324"/>
      <c r="L137" s="324"/>
      <c r="M137" s="324"/>
      <c r="N137" s="324"/>
      <c r="O137" s="127"/>
    </row>
    <row r="138" spans="3:15" ht="15" customHeight="1" x14ac:dyDescent="0.2">
      <c r="C138" s="324"/>
      <c r="D138" s="324"/>
      <c r="E138" s="324"/>
      <c r="F138" s="324"/>
      <c r="G138" s="324"/>
      <c r="H138" s="324"/>
      <c r="I138" s="324"/>
      <c r="J138" s="324"/>
      <c r="K138" s="324"/>
      <c r="L138" s="324"/>
      <c r="M138" s="324"/>
      <c r="N138" s="324"/>
      <c r="O138" s="127"/>
    </row>
    <row r="139" spans="3:15" ht="15" customHeight="1" x14ac:dyDescent="0.2">
      <c r="C139" s="324"/>
      <c r="D139" s="324"/>
      <c r="E139" s="324"/>
      <c r="F139" s="324"/>
      <c r="G139" s="324"/>
      <c r="H139" s="324"/>
      <c r="I139" s="324"/>
      <c r="J139" s="324"/>
      <c r="K139" s="324"/>
      <c r="L139" s="324"/>
      <c r="M139" s="324"/>
      <c r="N139" s="324"/>
      <c r="O139" s="127"/>
    </row>
    <row r="140" spans="3:15" ht="15" customHeight="1" x14ac:dyDescent="0.2">
      <c r="C140" s="324"/>
      <c r="D140" s="324"/>
      <c r="E140" s="324"/>
      <c r="F140" s="324"/>
      <c r="G140" s="324"/>
      <c r="H140" s="324"/>
      <c r="I140" s="324"/>
      <c r="J140" s="324"/>
      <c r="K140" s="324"/>
      <c r="L140" s="324"/>
      <c r="M140" s="324"/>
      <c r="N140" s="324"/>
      <c r="O140" s="127"/>
    </row>
    <row r="141" spans="3:15" ht="15" customHeight="1" x14ac:dyDescent="0.2">
      <c r="C141" s="324"/>
      <c r="D141" s="324"/>
      <c r="E141" s="324"/>
      <c r="F141" s="324"/>
      <c r="G141" s="324"/>
      <c r="H141" s="324"/>
      <c r="I141" s="324"/>
      <c r="J141" s="324"/>
      <c r="K141" s="324"/>
      <c r="L141" s="324"/>
      <c r="M141" s="324"/>
      <c r="N141" s="324"/>
      <c r="O141" s="127"/>
    </row>
    <row r="142" spans="3:15" ht="15" customHeight="1" x14ac:dyDescent="0.2">
      <c r="C142" s="324"/>
      <c r="D142" s="324"/>
      <c r="E142" s="324"/>
      <c r="F142" s="324"/>
      <c r="G142" s="324"/>
      <c r="H142" s="324"/>
      <c r="I142" s="324"/>
      <c r="J142" s="324"/>
      <c r="K142" s="324"/>
      <c r="L142" s="324"/>
      <c r="M142" s="324"/>
      <c r="N142" s="324"/>
      <c r="O142" s="127"/>
    </row>
    <row r="143" spans="3:15" ht="15" customHeight="1" x14ac:dyDescent="0.2">
      <c r="C143" s="324"/>
      <c r="D143" s="324"/>
      <c r="E143" s="324"/>
      <c r="F143" s="324"/>
      <c r="G143" s="324"/>
      <c r="H143" s="324"/>
      <c r="I143" s="324"/>
      <c r="J143" s="324"/>
      <c r="K143" s="324"/>
      <c r="L143" s="324"/>
      <c r="M143" s="324"/>
      <c r="N143" s="324"/>
      <c r="O143" s="127"/>
    </row>
    <row r="144" spans="3:15" ht="15" customHeight="1" x14ac:dyDescent="0.2">
      <c r="C144" s="324"/>
      <c r="D144" s="324"/>
      <c r="E144" s="324"/>
      <c r="F144" s="324"/>
      <c r="G144" s="324"/>
      <c r="H144" s="324"/>
      <c r="I144" s="324"/>
      <c r="J144" s="324"/>
      <c r="K144" s="324"/>
      <c r="L144" s="324"/>
      <c r="M144" s="324"/>
      <c r="N144" s="324"/>
      <c r="O144" s="127"/>
    </row>
    <row r="145" spans="3:15" ht="15" customHeight="1" x14ac:dyDescent="0.2">
      <c r="C145" s="324"/>
      <c r="D145" s="324"/>
      <c r="E145" s="324"/>
      <c r="F145" s="324"/>
      <c r="G145" s="324"/>
      <c r="H145" s="324"/>
      <c r="I145" s="324"/>
      <c r="J145" s="324"/>
      <c r="K145" s="324"/>
      <c r="L145" s="324"/>
      <c r="M145" s="324"/>
      <c r="N145" s="324"/>
      <c r="O145" s="127"/>
    </row>
    <row r="146" spans="3:15" ht="15" customHeight="1" x14ac:dyDescent="0.2">
      <c r="C146" s="324"/>
      <c r="D146" s="324"/>
      <c r="E146" s="324"/>
      <c r="F146" s="324"/>
      <c r="G146" s="324"/>
      <c r="H146" s="324"/>
      <c r="I146" s="324"/>
      <c r="J146" s="324"/>
      <c r="K146" s="324"/>
      <c r="L146" s="324"/>
      <c r="M146" s="324"/>
      <c r="N146" s="324"/>
      <c r="O146" s="127"/>
    </row>
    <row r="147" spans="3:15" ht="15" customHeight="1" x14ac:dyDescent="0.2">
      <c r="C147" s="324"/>
      <c r="D147" s="324"/>
      <c r="E147" s="324"/>
      <c r="F147" s="324"/>
      <c r="G147" s="324"/>
      <c r="H147" s="324"/>
      <c r="I147" s="324"/>
      <c r="J147" s="324"/>
      <c r="K147" s="324"/>
      <c r="L147" s="324"/>
      <c r="M147" s="324"/>
      <c r="N147" s="324"/>
      <c r="O147" s="127"/>
    </row>
    <row r="148" spans="3:15" ht="15" customHeight="1" x14ac:dyDescent="0.2">
      <c r="C148" s="324"/>
      <c r="D148" s="324"/>
      <c r="E148" s="324"/>
      <c r="F148" s="324"/>
      <c r="G148" s="324"/>
      <c r="H148" s="324"/>
      <c r="I148" s="324"/>
      <c r="J148" s="324"/>
      <c r="K148" s="324"/>
      <c r="L148" s="324"/>
      <c r="M148" s="324"/>
      <c r="N148" s="324"/>
      <c r="O148" s="127"/>
    </row>
    <row r="149" spans="3:15" ht="15" customHeight="1" x14ac:dyDescent="0.2">
      <c r="C149" s="324"/>
      <c r="D149" s="324"/>
      <c r="E149" s="324"/>
      <c r="F149" s="324"/>
      <c r="G149" s="324"/>
      <c r="H149" s="324"/>
      <c r="I149" s="324"/>
      <c r="J149" s="324"/>
      <c r="K149" s="324"/>
      <c r="L149" s="324"/>
      <c r="M149" s="324"/>
      <c r="N149" s="324"/>
      <c r="O149" s="127"/>
    </row>
    <row r="150" spans="3:15" ht="15" customHeight="1" x14ac:dyDescent="0.2">
      <c r="C150" s="324"/>
      <c r="D150" s="324"/>
      <c r="E150" s="324"/>
      <c r="F150" s="324"/>
      <c r="G150" s="324"/>
      <c r="H150" s="324"/>
      <c r="I150" s="324"/>
      <c r="J150" s="324"/>
      <c r="K150" s="324"/>
      <c r="L150" s="324"/>
      <c r="M150" s="324"/>
      <c r="N150" s="324"/>
      <c r="O150" s="127"/>
    </row>
    <row r="151" spans="3:15" ht="15" customHeight="1" x14ac:dyDescent="0.2">
      <c r="C151" s="324"/>
      <c r="D151" s="324"/>
      <c r="E151" s="324"/>
      <c r="F151" s="324"/>
      <c r="G151" s="324"/>
      <c r="H151" s="324"/>
      <c r="I151" s="324"/>
      <c r="J151" s="324"/>
      <c r="K151" s="324"/>
      <c r="L151" s="324"/>
      <c r="M151" s="324"/>
      <c r="N151" s="324"/>
      <c r="O151" s="127"/>
    </row>
    <row r="152" spans="3:15" ht="15" customHeight="1" x14ac:dyDescent="0.2">
      <c r="C152" s="324"/>
      <c r="D152" s="324"/>
      <c r="E152" s="324"/>
      <c r="F152" s="324"/>
      <c r="G152" s="324"/>
      <c r="H152" s="324"/>
      <c r="I152" s="324"/>
      <c r="J152" s="324"/>
      <c r="K152" s="324"/>
      <c r="L152" s="324"/>
      <c r="M152" s="324"/>
      <c r="N152" s="324"/>
      <c r="O152" s="127"/>
    </row>
    <row r="153" spans="3:15" ht="15" customHeight="1" x14ac:dyDescent="0.2">
      <c r="C153" s="324"/>
      <c r="D153" s="324"/>
      <c r="E153" s="324"/>
      <c r="F153" s="324"/>
      <c r="G153" s="324"/>
      <c r="H153" s="324"/>
      <c r="I153" s="324"/>
      <c r="J153" s="324"/>
      <c r="K153" s="324"/>
      <c r="L153" s="324"/>
      <c r="M153" s="324"/>
      <c r="N153" s="324"/>
      <c r="O153" s="127"/>
    </row>
    <row r="154" spans="3:15" ht="15" customHeight="1" x14ac:dyDescent="0.2">
      <c r="C154" s="324"/>
      <c r="D154" s="324"/>
      <c r="E154" s="324"/>
      <c r="F154" s="324"/>
      <c r="G154" s="324"/>
      <c r="H154" s="324"/>
      <c r="I154" s="324"/>
      <c r="J154" s="324"/>
      <c r="K154" s="324"/>
      <c r="L154" s="324"/>
      <c r="M154" s="324"/>
      <c r="N154" s="324"/>
      <c r="O154" s="127"/>
    </row>
    <row r="155" spans="3:15" ht="15" customHeight="1" x14ac:dyDescent="0.2">
      <c r="C155" s="324"/>
      <c r="D155" s="324"/>
      <c r="E155" s="324"/>
      <c r="F155" s="324"/>
      <c r="G155" s="324"/>
      <c r="H155" s="324"/>
      <c r="I155" s="324"/>
      <c r="J155" s="324"/>
      <c r="K155" s="324"/>
      <c r="L155" s="324"/>
      <c r="M155" s="324"/>
      <c r="N155" s="324"/>
      <c r="O155" s="127"/>
    </row>
    <row r="156" spans="3:15" ht="15" customHeight="1" x14ac:dyDescent="0.2">
      <c r="C156" s="324"/>
      <c r="D156" s="324"/>
      <c r="E156" s="324"/>
      <c r="F156" s="324"/>
      <c r="G156" s="324"/>
      <c r="H156" s="324"/>
      <c r="I156" s="324"/>
      <c r="J156" s="324"/>
      <c r="K156" s="324"/>
      <c r="L156" s="324"/>
      <c r="M156" s="324"/>
      <c r="N156" s="324"/>
      <c r="O156" s="127"/>
    </row>
    <row r="157" spans="3:15" ht="15" customHeight="1" x14ac:dyDescent="0.2">
      <c r="C157" s="324"/>
      <c r="D157" s="324"/>
      <c r="E157" s="324"/>
      <c r="F157" s="324"/>
      <c r="G157" s="324"/>
      <c r="H157" s="324"/>
      <c r="I157" s="324"/>
      <c r="J157" s="324"/>
      <c r="K157" s="324"/>
      <c r="L157" s="324"/>
      <c r="M157" s="324"/>
      <c r="N157" s="324"/>
    </row>
    <row r="158" spans="3:15" ht="15" customHeight="1" x14ac:dyDescent="0.2">
      <c r="C158" s="324"/>
      <c r="D158" s="324"/>
      <c r="E158" s="324"/>
      <c r="F158" s="324"/>
      <c r="G158" s="324"/>
      <c r="H158" s="324"/>
      <c r="I158" s="324"/>
      <c r="J158" s="324"/>
      <c r="K158" s="324"/>
      <c r="L158" s="324"/>
      <c r="M158" s="324"/>
      <c r="N158" s="324"/>
    </row>
    <row r="159" spans="3:15" ht="15" customHeight="1" x14ac:dyDescent="0.2">
      <c r="C159" s="324"/>
      <c r="D159" s="324"/>
      <c r="E159" s="324"/>
      <c r="F159" s="324"/>
      <c r="G159" s="324"/>
      <c r="H159" s="324"/>
      <c r="I159" s="324"/>
      <c r="J159" s="324"/>
      <c r="K159" s="324"/>
      <c r="L159" s="324"/>
      <c r="M159" s="324"/>
      <c r="N159" s="324"/>
    </row>
    <row r="160" spans="3:15" ht="15" customHeight="1" x14ac:dyDescent="0.2">
      <c r="C160" s="324"/>
      <c r="D160" s="324"/>
      <c r="E160" s="324"/>
      <c r="F160" s="324"/>
      <c r="G160" s="324"/>
      <c r="H160" s="324"/>
      <c r="I160" s="324"/>
      <c r="J160" s="324"/>
      <c r="K160" s="324"/>
      <c r="L160" s="324"/>
      <c r="M160" s="324"/>
      <c r="N160" s="324"/>
    </row>
    <row r="161" spans="3:14" ht="15" customHeight="1" x14ac:dyDescent="0.2">
      <c r="C161" s="324"/>
      <c r="D161" s="324"/>
      <c r="E161" s="324"/>
      <c r="F161" s="324"/>
      <c r="G161" s="324"/>
      <c r="H161" s="324"/>
      <c r="I161" s="324"/>
      <c r="J161" s="324"/>
      <c r="K161" s="324"/>
      <c r="L161" s="324"/>
      <c r="M161" s="324"/>
      <c r="N161" s="324"/>
    </row>
    <row r="162" spans="3:14" ht="15" customHeight="1" x14ac:dyDescent="0.2">
      <c r="C162" s="324"/>
      <c r="D162" s="324"/>
      <c r="E162" s="324"/>
      <c r="F162" s="324"/>
      <c r="G162" s="324"/>
      <c r="H162" s="324"/>
      <c r="I162" s="324"/>
      <c r="J162" s="324"/>
      <c r="K162" s="324"/>
      <c r="L162" s="324"/>
      <c r="M162" s="324"/>
      <c r="N162" s="324"/>
    </row>
    <row r="163" spans="3:14" ht="15" customHeight="1" x14ac:dyDescent="0.2">
      <c r="C163" s="324"/>
      <c r="D163" s="324"/>
      <c r="E163" s="324"/>
      <c r="F163" s="324"/>
      <c r="G163" s="324"/>
      <c r="H163" s="324"/>
      <c r="I163" s="324"/>
      <c r="J163" s="324"/>
      <c r="K163" s="324"/>
      <c r="L163" s="324"/>
      <c r="M163" s="324"/>
      <c r="N163" s="324"/>
    </row>
    <row r="164" spans="3:14" ht="15" customHeight="1" x14ac:dyDescent="0.2">
      <c r="C164" s="324"/>
      <c r="D164" s="324"/>
      <c r="E164" s="324"/>
      <c r="F164" s="324"/>
      <c r="G164" s="324"/>
      <c r="H164" s="324"/>
      <c r="I164" s="324"/>
      <c r="J164" s="324"/>
      <c r="K164" s="324"/>
      <c r="L164" s="324"/>
      <c r="M164" s="324"/>
      <c r="N164" s="324"/>
    </row>
    <row r="165" spans="3:14" ht="15" customHeight="1" x14ac:dyDescent="0.2">
      <c r="C165" s="324"/>
      <c r="D165" s="324"/>
      <c r="E165" s="324"/>
      <c r="F165" s="324"/>
      <c r="G165" s="324"/>
      <c r="H165" s="324"/>
      <c r="I165" s="324"/>
      <c r="J165" s="324"/>
      <c r="K165" s="324"/>
      <c r="L165" s="324"/>
      <c r="M165" s="324"/>
      <c r="N165" s="324"/>
    </row>
    <row r="166" spans="3:14" ht="15" customHeight="1" x14ac:dyDescent="0.2">
      <c r="C166" s="324"/>
      <c r="D166" s="324"/>
      <c r="E166" s="324"/>
      <c r="F166" s="324"/>
      <c r="G166" s="324"/>
      <c r="H166" s="324"/>
      <c r="I166" s="324"/>
      <c r="J166" s="324"/>
      <c r="K166" s="324"/>
      <c r="L166" s="324"/>
      <c r="M166" s="324"/>
      <c r="N166" s="324"/>
    </row>
    <row r="167" spans="3:14" ht="15" customHeight="1" x14ac:dyDescent="0.2">
      <c r="C167" s="324"/>
      <c r="D167" s="324"/>
      <c r="E167" s="324"/>
      <c r="F167" s="324"/>
      <c r="G167" s="324"/>
      <c r="H167" s="324"/>
      <c r="I167" s="324"/>
      <c r="J167" s="324"/>
      <c r="K167" s="324"/>
      <c r="L167" s="324"/>
      <c r="M167" s="324"/>
      <c r="N167" s="324"/>
    </row>
    <row r="168" spans="3:14" ht="15" customHeight="1" x14ac:dyDescent="0.2">
      <c r="C168" s="324"/>
      <c r="D168" s="324"/>
      <c r="E168" s="324"/>
      <c r="F168" s="324"/>
      <c r="G168" s="324"/>
      <c r="H168" s="324"/>
      <c r="I168" s="324"/>
      <c r="J168" s="324"/>
      <c r="K168" s="324"/>
      <c r="L168" s="324"/>
      <c r="M168" s="324"/>
      <c r="N168" s="324"/>
    </row>
    <row r="169" spans="3:14" ht="15" customHeight="1" x14ac:dyDescent="0.2">
      <c r="C169" s="324"/>
      <c r="D169" s="324"/>
      <c r="E169" s="324"/>
      <c r="F169" s="324"/>
      <c r="G169" s="324"/>
      <c r="H169" s="324"/>
      <c r="I169" s="324"/>
      <c r="J169" s="324"/>
      <c r="K169" s="324"/>
      <c r="L169" s="324"/>
      <c r="M169" s="324"/>
      <c r="N169" s="324"/>
    </row>
    <row r="170" spans="3:14" ht="15" customHeight="1" x14ac:dyDescent="0.2">
      <c r="C170" s="324"/>
      <c r="D170" s="324"/>
      <c r="E170" s="324"/>
      <c r="F170" s="324"/>
      <c r="G170" s="324"/>
      <c r="H170" s="324"/>
      <c r="I170" s="324"/>
      <c r="J170" s="324"/>
      <c r="K170" s="324"/>
      <c r="L170" s="324"/>
      <c r="M170" s="324"/>
      <c r="N170" s="324"/>
    </row>
    <row r="171" spans="3:14" ht="15" customHeight="1" x14ac:dyDescent="0.2">
      <c r="C171" s="324"/>
      <c r="D171" s="324"/>
      <c r="E171" s="324"/>
      <c r="F171" s="324"/>
      <c r="G171" s="324"/>
      <c r="H171" s="324"/>
      <c r="I171" s="324"/>
      <c r="J171" s="324"/>
      <c r="K171" s="324"/>
      <c r="L171" s="324"/>
      <c r="M171" s="324"/>
      <c r="N171" s="324"/>
    </row>
    <row r="172" spans="3:14" ht="15" customHeight="1" x14ac:dyDescent="0.2">
      <c r="C172" s="324"/>
      <c r="D172" s="324"/>
      <c r="E172" s="324"/>
      <c r="F172" s="324"/>
      <c r="G172" s="324"/>
      <c r="H172" s="324"/>
      <c r="I172" s="324"/>
      <c r="J172" s="324"/>
      <c r="K172" s="324"/>
      <c r="L172" s="324"/>
      <c r="M172" s="324"/>
      <c r="N172" s="324"/>
    </row>
    <row r="173" spans="3:14" ht="15" customHeight="1" x14ac:dyDescent="0.2">
      <c r="C173" s="324"/>
      <c r="D173" s="324"/>
      <c r="E173" s="324"/>
      <c r="F173" s="324"/>
      <c r="G173" s="324"/>
      <c r="H173" s="324"/>
      <c r="I173" s="324"/>
      <c r="J173" s="324"/>
      <c r="K173" s="324"/>
      <c r="L173" s="324"/>
      <c r="M173" s="324"/>
      <c r="N173" s="324"/>
    </row>
    <row r="174" spans="3:14" ht="15" customHeight="1" x14ac:dyDescent="0.2">
      <c r="C174" s="324"/>
      <c r="D174" s="324"/>
      <c r="E174" s="324"/>
      <c r="F174" s="324"/>
      <c r="G174" s="324"/>
      <c r="H174" s="324"/>
      <c r="I174" s="324"/>
      <c r="J174" s="324"/>
      <c r="K174" s="324"/>
      <c r="L174" s="324"/>
      <c r="M174" s="324"/>
      <c r="N174" s="324"/>
    </row>
    <row r="175" spans="3:14" ht="15" customHeight="1" x14ac:dyDescent="0.2">
      <c r="C175" s="324"/>
      <c r="D175" s="324"/>
      <c r="E175" s="324"/>
      <c r="F175" s="324"/>
      <c r="G175" s="324"/>
      <c r="H175" s="324"/>
      <c r="I175" s="324"/>
      <c r="J175" s="324"/>
      <c r="K175" s="324"/>
      <c r="L175" s="324"/>
      <c r="M175" s="324"/>
      <c r="N175" s="324"/>
    </row>
    <row r="176" spans="3:14" ht="15" customHeight="1" x14ac:dyDescent="0.2">
      <c r="C176" s="324"/>
      <c r="D176" s="324"/>
      <c r="E176" s="324"/>
      <c r="F176" s="324"/>
      <c r="G176" s="324"/>
      <c r="H176" s="324"/>
      <c r="I176" s="324"/>
      <c r="J176" s="324"/>
      <c r="K176" s="324"/>
      <c r="L176" s="324"/>
      <c r="M176" s="324"/>
      <c r="N176" s="324"/>
    </row>
    <row r="177" spans="3:14" ht="15" customHeight="1" x14ac:dyDescent="0.2">
      <c r="C177" s="324"/>
      <c r="D177" s="324"/>
      <c r="E177" s="324"/>
      <c r="F177" s="324"/>
      <c r="G177" s="324"/>
      <c r="H177" s="324"/>
      <c r="I177" s="324"/>
      <c r="J177" s="324"/>
      <c r="K177" s="324"/>
      <c r="L177" s="324"/>
      <c r="M177" s="324"/>
      <c r="N177" s="324"/>
    </row>
    <row r="178" spans="3:14" ht="15" customHeight="1" x14ac:dyDescent="0.2"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</row>
    <row r="179" spans="3:14" ht="15" customHeight="1" x14ac:dyDescent="0.2">
      <c r="C179" s="324"/>
      <c r="D179" s="324"/>
      <c r="E179" s="324"/>
      <c r="F179" s="324"/>
      <c r="G179" s="324"/>
      <c r="H179" s="324"/>
      <c r="I179" s="324"/>
      <c r="J179" s="324"/>
      <c r="K179" s="324"/>
      <c r="L179" s="324"/>
      <c r="M179" s="324"/>
      <c r="N179" s="324"/>
    </row>
    <row r="180" spans="3:14" ht="15" customHeight="1" x14ac:dyDescent="0.2">
      <c r="C180" s="324"/>
      <c r="D180" s="324"/>
      <c r="E180" s="324"/>
      <c r="F180" s="324"/>
      <c r="G180" s="324"/>
      <c r="H180" s="324"/>
      <c r="I180" s="324"/>
      <c r="J180" s="324"/>
      <c r="K180" s="324"/>
      <c r="L180" s="324"/>
      <c r="M180" s="324"/>
      <c r="N180" s="324"/>
    </row>
    <row r="181" spans="3:14" ht="15" customHeight="1" x14ac:dyDescent="0.2">
      <c r="C181" s="324"/>
      <c r="D181" s="324"/>
      <c r="E181" s="324"/>
      <c r="F181" s="324"/>
      <c r="G181" s="324"/>
      <c r="H181" s="324"/>
      <c r="I181" s="324"/>
      <c r="J181" s="324"/>
      <c r="K181" s="324"/>
      <c r="L181" s="324"/>
      <c r="M181" s="324"/>
      <c r="N181" s="324"/>
    </row>
    <row r="182" spans="3:14" ht="15" customHeight="1" x14ac:dyDescent="0.2">
      <c r="C182" s="324"/>
      <c r="D182" s="324"/>
      <c r="E182" s="324"/>
      <c r="F182" s="324"/>
      <c r="G182" s="324"/>
      <c r="H182" s="324"/>
      <c r="I182" s="324"/>
      <c r="J182" s="324"/>
      <c r="K182" s="324"/>
      <c r="L182" s="324"/>
      <c r="M182" s="324"/>
      <c r="N182" s="324"/>
    </row>
    <row r="183" spans="3:14" ht="15" customHeight="1" x14ac:dyDescent="0.2">
      <c r="C183" s="324"/>
      <c r="D183" s="324"/>
      <c r="E183" s="324"/>
      <c r="F183" s="324"/>
      <c r="G183" s="324"/>
      <c r="H183" s="324"/>
      <c r="I183" s="324"/>
      <c r="J183" s="324"/>
      <c r="K183" s="324"/>
      <c r="L183" s="324"/>
      <c r="M183" s="324"/>
      <c r="N183" s="324"/>
    </row>
    <row r="184" spans="3:14" ht="15" customHeight="1" x14ac:dyDescent="0.2">
      <c r="C184" s="324"/>
      <c r="D184" s="324"/>
      <c r="E184" s="324"/>
      <c r="F184" s="324"/>
      <c r="G184" s="324"/>
      <c r="H184" s="324"/>
      <c r="I184" s="324"/>
      <c r="J184" s="324"/>
      <c r="K184" s="324"/>
      <c r="L184" s="324"/>
      <c r="M184" s="324"/>
      <c r="N184" s="324"/>
    </row>
    <row r="185" spans="3:14" ht="15" customHeight="1" x14ac:dyDescent="0.2">
      <c r="C185" s="324"/>
      <c r="D185" s="324"/>
      <c r="E185" s="324"/>
      <c r="F185" s="324"/>
      <c r="G185" s="324"/>
      <c r="H185" s="324"/>
      <c r="I185" s="324"/>
      <c r="J185" s="324"/>
      <c r="K185" s="324"/>
      <c r="L185" s="324"/>
      <c r="M185" s="324"/>
      <c r="N185" s="324"/>
    </row>
    <row r="186" spans="3:14" ht="15" customHeight="1" x14ac:dyDescent="0.2">
      <c r="C186" s="324"/>
      <c r="D186" s="324"/>
      <c r="E186" s="324"/>
      <c r="F186" s="324"/>
      <c r="G186" s="324"/>
      <c r="H186" s="324"/>
      <c r="I186" s="324"/>
      <c r="J186" s="324"/>
      <c r="K186" s="324"/>
      <c r="L186" s="324"/>
      <c r="M186" s="324"/>
      <c r="N186" s="324"/>
    </row>
    <row r="187" spans="3:14" ht="15" customHeight="1" x14ac:dyDescent="0.2">
      <c r="C187" s="324"/>
      <c r="D187" s="324"/>
      <c r="E187" s="324"/>
      <c r="F187" s="324"/>
      <c r="G187" s="324"/>
      <c r="H187" s="324"/>
      <c r="I187" s="324"/>
      <c r="J187" s="324"/>
      <c r="K187" s="324"/>
      <c r="L187" s="324"/>
      <c r="M187" s="324"/>
      <c r="N187" s="324"/>
    </row>
    <row r="188" spans="3:14" ht="15" customHeight="1" x14ac:dyDescent="0.2">
      <c r="C188" s="324"/>
      <c r="D188" s="324"/>
      <c r="E188" s="324"/>
      <c r="F188" s="324"/>
      <c r="G188" s="324"/>
      <c r="H188" s="324"/>
      <c r="I188" s="324"/>
      <c r="J188" s="324"/>
      <c r="K188" s="324"/>
      <c r="L188" s="324"/>
      <c r="M188" s="324"/>
      <c r="N188" s="324"/>
    </row>
    <row r="189" spans="3:14" ht="15" customHeight="1" x14ac:dyDescent="0.2">
      <c r="C189" s="324"/>
      <c r="D189" s="324"/>
      <c r="E189" s="324"/>
      <c r="F189" s="324"/>
      <c r="G189" s="324"/>
      <c r="H189" s="324"/>
      <c r="I189" s="324"/>
      <c r="J189" s="324"/>
      <c r="K189" s="324"/>
      <c r="L189" s="324"/>
      <c r="M189" s="324"/>
      <c r="N189" s="324"/>
    </row>
    <row r="190" spans="3:14" ht="15" customHeight="1" x14ac:dyDescent="0.2">
      <c r="C190" s="324"/>
      <c r="D190" s="324"/>
      <c r="E190" s="324"/>
      <c r="F190" s="324"/>
      <c r="G190" s="324"/>
      <c r="H190" s="324"/>
      <c r="I190" s="324"/>
      <c r="J190" s="324"/>
      <c r="K190" s="324"/>
      <c r="L190" s="324"/>
      <c r="M190" s="324"/>
      <c r="N190" s="324"/>
    </row>
    <row r="191" spans="3:14" x14ac:dyDescent="0.2">
      <c r="C191" s="324"/>
      <c r="D191" s="324"/>
      <c r="E191" s="324"/>
      <c r="F191" s="324"/>
      <c r="G191" s="324"/>
      <c r="H191" s="324"/>
      <c r="I191" s="324"/>
      <c r="J191" s="324"/>
      <c r="K191" s="324"/>
      <c r="L191" s="324"/>
      <c r="M191" s="324"/>
      <c r="N191" s="324"/>
    </row>
    <row r="192" spans="3:14" x14ac:dyDescent="0.2">
      <c r="C192" s="324"/>
      <c r="D192" s="324"/>
      <c r="E192" s="324"/>
      <c r="F192" s="324"/>
      <c r="G192" s="324"/>
      <c r="H192" s="324"/>
      <c r="I192" s="324"/>
      <c r="J192" s="324"/>
      <c r="K192" s="324"/>
      <c r="L192" s="324"/>
      <c r="M192" s="324"/>
      <c r="N192" s="324"/>
    </row>
    <row r="193" spans="3:14" x14ac:dyDescent="0.2">
      <c r="C193" s="324"/>
      <c r="D193" s="324"/>
      <c r="E193" s="324"/>
      <c r="F193" s="324"/>
      <c r="G193" s="324"/>
      <c r="H193" s="324"/>
      <c r="I193" s="324"/>
      <c r="J193" s="324"/>
      <c r="K193" s="324"/>
      <c r="L193" s="324"/>
      <c r="M193" s="324"/>
      <c r="N193" s="324"/>
    </row>
    <row r="194" spans="3:14" x14ac:dyDescent="0.2">
      <c r="C194" s="324"/>
      <c r="D194" s="324"/>
      <c r="E194" s="324"/>
      <c r="F194" s="324"/>
      <c r="G194" s="324"/>
      <c r="H194" s="324"/>
      <c r="I194" s="324"/>
      <c r="J194" s="324"/>
      <c r="K194" s="324"/>
      <c r="L194" s="324"/>
      <c r="M194" s="324"/>
      <c r="N194" s="324"/>
    </row>
    <row r="195" spans="3:14" x14ac:dyDescent="0.2">
      <c r="C195" s="324"/>
      <c r="D195" s="324"/>
      <c r="E195" s="324"/>
      <c r="F195" s="324"/>
      <c r="G195" s="324"/>
      <c r="H195" s="324"/>
      <c r="I195" s="324"/>
      <c r="J195" s="324"/>
      <c r="K195" s="324"/>
      <c r="L195" s="324"/>
      <c r="M195" s="324"/>
      <c r="N195" s="324"/>
    </row>
    <row r="196" spans="3:14" x14ac:dyDescent="0.2">
      <c r="C196" s="324"/>
      <c r="D196" s="324"/>
      <c r="E196" s="324"/>
      <c r="F196" s="324"/>
      <c r="G196" s="324"/>
      <c r="H196" s="324"/>
      <c r="I196" s="324"/>
      <c r="J196" s="324"/>
      <c r="K196" s="324"/>
      <c r="L196" s="324"/>
      <c r="M196" s="324"/>
      <c r="N196" s="324"/>
    </row>
    <row r="197" spans="3:14" x14ac:dyDescent="0.2">
      <c r="C197" s="324"/>
      <c r="D197" s="324"/>
      <c r="E197" s="324"/>
      <c r="F197" s="324"/>
      <c r="G197" s="324"/>
      <c r="H197" s="324"/>
      <c r="I197" s="324"/>
      <c r="J197" s="324"/>
      <c r="K197" s="324"/>
      <c r="L197" s="324"/>
      <c r="M197" s="324"/>
      <c r="N197" s="324"/>
    </row>
    <row r="198" spans="3:14" x14ac:dyDescent="0.2">
      <c r="C198" s="324"/>
      <c r="D198" s="324"/>
      <c r="E198" s="324"/>
      <c r="F198" s="324"/>
      <c r="G198" s="324"/>
      <c r="H198" s="324"/>
      <c r="I198" s="324"/>
      <c r="J198" s="324"/>
      <c r="K198" s="324"/>
      <c r="L198" s="324"/>
      <c r="M198" s="324"/>
      <c r="N198" s="324"/>
    </row>
    <row r="199" spans="3:14" x14ac:dyDescent="0.2">
      <c r="C199" s="324"/>
      <c r="D199" s="324"/>
      <c r="E199" s="324"/>
      <c r="F199" s="324"/>
      <c r="G199" s="324"/>
      <c r="H199" s="324"/>
      <c r="I199" s="324"/>
      <c r="J199" s="324"/>
      <c r="K199" s="324"/>
      <c r="L199" s="324"/>
      <c r="M199" s="324"/>
      <c r="N199" s="324"/>
    </row>
    <row r="200" spans="3:14" x14ac:dyDescent="0.2">
      <c r="C200" s="324"/>
      <c r="D200" s="324"/>
      <c r="E200" s="324"/>
      <c r="F200" s="324"/>
      <c r="G200" s="324"/>
      <c r="H200" s="324"/>
      <c r="I200" s="324"/>
      <c r="J200" s="324"/>
      <c r="K200" s="324"/>
      <c r="L200" s="324"/>
      <c r="M200" s="324"/>
      <c r="N200" s="324"/>
    </row>
    <row r="201" spans="3:14" x14ac:dyDescent="0.2">
      <c r="C201" s="324"/>
      <c r="D201" s="324"/>
      <c r="E201" s="324"/>
      <c r="F201" s="324"/>
      <c r="G201" s="324"/>
      <c r="H201" s="324"/>
      <c r="I201" s="324"/>
      <c r="J201" s="324"/>
      <c r="K201" s="324"/>
      <c r="L201" s="324"/>
      <c r="M201" s="324"/>
      <c r="N201" s="324"/>
    </row>
    <row r="202" spans="3:14" x14ac:dyDescent="0.2">
      <c r="C202" s="324"/>
      <c r="D202" s="324"/>
      <c r="E202" s="324"/>
      <c r="F202" s="324"/>
      <c r="G202" s="324"/>
      <c r="H202" s="324"/>
      <c r="I202" s="324"/>
      <c r="J202" s="324"/>
      <c r="K202" s="324"/>
      <c r="L202" s="324"/>
      <c r="M202" s="324"/>
      <c r="N202" s="324"/>
    </row>
    <row r="203" spans="3:14" x14ac:dyDescent="0.2">
      <c r="C203" s="324"/>
      <c r="D203" s="324"/>
      <c r="E203" s="324"/>
      <c r="F203" s="324"/>
      <c r="G203" s="324"/>
      <c r="H203" s="324"/>
      <c r="I203" s="324"/>
      <c r="J203" s="324"/>
      <c r="K203" s="324"/>
      <c r="L203" s="324"/>
      <c r="M203" s="324"/>
      <c r="N203" s="324"/>
    </row>
    <row r="204" spans="3:14" x14ac:dyDescent="0.2">
      <c r="C204" s="324"/>
      <c r="D204" s="324"/>
      <c r="E204" s="324"/>
      <c r="F204" s="324"/>
      <c r="G204" s="324"/>
      <c r="H204" s="324"/>
      <c r="I204" s="324"/>
      <c r="J204" s="324"/>
      <c r="K204" s="324"/>
      <c r="L204" s="324"/>
      <c r="M204" s="324"/>
      <c r="N204" s="324"/>
    </row>
    <row r="205" spans="3:14" x14ac:dyDescent="0.2">
      <c r="C205" s="324"/>
      <c r="D205" s="324"/>
      <c r="E205" s="324"/>
      <c r="F205" s="324"/>
      <c r="G205" s="324"/>
      <c r="H205" s="324"/>
      <c r="I205" s="324"/>
      <c r="J205" s="324"/>
      <c r="K205" s="324"/>
      <c r="L205" s="324"/>
      <c r="M205" s="324"/>
      <c r="N205" s="324"/>
    </row>
    <row r="206" spans="3:14" x14ac:dyDescent="0.2">
      <c r="C206" s="324"/>
      <c r="D206" s="324"/>
      <c r="E206" s="324"/>
      <c r="F206" s="324"/>
      <c r="G206" s="324"/>
      <c r="H206" s="324"/>
      <c r="I206" s="324"/>
      <c r="J206" s="324"/>
      <c r="K206" s="324"/>
      <c r="L206" s="324"/>
      <c r="M206" s="324"/>
      <c r="N206" s="324"/>
    </row>
    <row r="207" spans="3:14" x14ac:dyDescent="0.2">
      <c r="C207" s="324"/>
      <c r="D207" s="324"/>
      <c r="E207" s="324"/>
      <c r="F207" s="324"/>
      <c r="G207" s="324"/>
      <c r="H207" s="324"/>
      <c r="I207" s="324"/>
      <c r="J207" s="324"/>
      <c r="K207" s="324"/>
      <c r="L207" s="324"/>
      <c r="M207" s="324"/>
      <c r="N207" s="324"/>
    </row>
    <row r="208" spans="3:14" x14ac:dyDescent="0.2">
      <c r="C208" s="324"/>
      <c r="D208" s="324"/>
      <c r="E208" s="324"/>
      <c r="F208" s="324"/>
      <c r="G208" s="324"/>
      <c r="H208" s="324"/>
      <c r="I208" s="324"/>
      <c r="J208" s="324"/>
      <c r="K208" s="324"/>
      <c r="L208" s="324"/>
      <c r="M208" s="324"/>
      <c r="N208" s="324"/>
    </row>
    <row r="209" spans="3:14" x14ac:dyDescent="0.2">
      <c r="C209" s="324"/>
      <c r="D209" s="324"/>
      <c r="E209" s="324"/>
      <c r="F209" s="324"/>
      <c r="G209" s="324"/>
      <c r="H209" s="324"/>
      <c r="I209" s="324"/>
      <c r="J209" s="324"/>
      <c r="K209" s="324"/>
      <c r="L209" s="324"/>
      <c r="M209" s="324"/>
      <c r="N209" s="324"/>
    </row>
    <row r="210" spans="3:14" x14ac:dyDescent="0.2">
      <c r="C210" s="324"/>
      <c r="D210" s="324"/>
      <c r="E210" s="324"/>
      <c r="F210" s="324"/>
      <c r="G210" s="324"/>
      <c r="H210" s="324"/>
      <c r="I210" s="324"/>
      <c r="J210" s="324"/>
      <c r="K210" s="324"/>
      <c r="L210" s="324"/>
      <c r="M210" s="324"/>
      <c r="N210" s="324"/>
    </row>
    <row r="211" spans="3:14" x14ac:dyDescent="0.2">
      <c r="C211" s="324"/>
      <c r="D211" s="324"/>
      <c r="E211" s="324"/>
      <c r="F211" s="324"/>
      <c r="G211" s="324"/>
      <c r="H211" s="324"/>
      <c r="I211" s="324"/>
      <c r="J211" s="324"/>
      <c r="K211" s="324"/>
      <c r="L211" s="324"/>
      <c r="M211" s="324"/>
      <c r="N211" s="324"/>
    </row>
    <row r="212" spans="3:14" x14ac:dyDescent="0.2">
      <c r="C212" s="324"/>
      <c r="D212" s="324"/>
      <c r="E212" s="324"/>
      <c r="F212" s="324"/>
      <c r="G212" s="324"/>
      <c r="H212" s="324"/>
      <c r="I212" s="324"/>
      <c r="J212" s="324"/>
      <c r="K212" s="324"/>
      <c r="L212" s="324"/>
      <c r="M212" s="324"/>
      <c r="N212" s="324"/>
    </row>
    <row r="213" spans="3:14" x14ac:dyDescent="0.2">
      <c r="C213" s="324"/>
      <c r="D213" s="324"/>
      <c r="E213" s="324"/>
      <c r="F213" s="324"/>
      <c r="G213" s="324"/>
      <c r="H213" s="324"/>
      <c r="I213" s="324"/>
      <c r="J213" s="324"/>
      <c r="K213" s="324"/>
      <c r="L213" s="324"/>
      <c r="M213" s="324"/>
      <c r="N213" s="324"/>
    </row>
    <row r="214" spans="3:14" x14ac:dyDescent="0.2">
      <c r="C214" s="324"/>
      <c r="D214" s="324"/>
      <c r="E214" s="324"/>
      <c r="F214" s="324"/>
      <c r="G214" s="324"/>
      <c r="H214" s="324"/>
      <c r="I214" s="324"/>
      <c r="J214" s="324"/>
      <c r="K214" s="324"/>
      <c r="L214" s="324"/>
      <c r="M214" s="324"/>
      <c r="N214" s="324"/>
    </row>
    <row r="215" spans="3:14" x14ac:dyDescent="0.2">
      <c r="C215" s="324"/>
      <c r="D215" s="324"/>
      <c r="E215" s="324"/>
      <c r="F215" s="324"/>
      <c r="G215" s="324"/>
      <c r="H215" s="324"/>
      <c r="I215" s="324"/>
      <c r="J215" s="324"/>
      <c r="K215" s="324"/>
      <c r="L215" s="324"/>
      <c r="M215" s="324"/>
      <c r="N215" s="324"/>
    </row>
    <row r="216" spans="3:14" x14ac:dyDescent="0.2">
      <c r="C216" s="324"/>
      <c r="D216" s="324"/>
      <c r="E216" s="324"/>
      <c r="F216" s="324"/>
      <c r="G216" s="324"/>
      <c r="H216" s="324"/>
      <c r="I216" s="324"/>
      <c r="J216" s="324"/>
      <c r="K216" s="324"/>
      <c r="L216" s="324"/>
      <c r="M216" s="324"/>
      <c r="N216" s="324"/>
    </row>
    <row r="217" spans="3:14" x14ac:dyDescent="0.2">
      <c r="C217" s="324"/>
      <c r="D217" s="324"/>
      <c r="E217" s="324"/>
      <c r="F217" s="324"/>
      <c r="G217" s="324"/>
      <c r="H217" s="324"/>
      <c r="I217" s="324"/>
      <c r="J217" s="324"/>
      <c r="K217" s="324"/>
      <c r="L217" s="324"/>
      <c r="M217" s="324"/>
      <c r="N217" s="324"/>
    </row>
    <row r="218" spans="3:14" x14ac:dyDescent="0.2">
      <c r="C218" s="324"/>
      <c r="D218" s="324"/>
      <c r="E218" s="324"/>
      <c r="F218" s="324"/>
      <c r="G218" s="324"/>
      <c r="H218" s="324"/>
      <c r="I218" s="324"/>
      <c r="J218" s="324"/>
      <c r="K218" s="324"/>
      <c r="L218" s="324"/>
      <c r="M218" s="324"/>
      <c r="N218" s="324"/>
    </row>
    <row r="219" spans="3:14" x14ac:dyDescent="0.2">
      <c r="C219" s="324"/>
      <c r="D219" s="324"/>
      <c r="E219" s="324"/>
      <c r="F219" s="324"/>
      <c r="G219" s="324"/>
      <c r="H219" s="324"/>
      <c r="I219" s="324"/>
      <c r="J219" s="324"/>
      <c r="K219" s="324"/>
      <c r="L219" s="324"/>
      <c r="M219" s="324"/>
      <c r="N219" s="324"/>
    </row>
    <row r="220" spans="3:14" x14ac:dyDescent="0.2">
      <c r="C220" s="324"/>
      <c r="D220" s="324"/>
      <c r="E220" s="324"/>
      <c r="F220" s="324"/>
      <c r="G220" s="324"/>
      <c r="H220" s="324"/>
      <c r="I220" s="324"/>
      <c r="J220" s="324"/>
      <c r="K220" s="324"/>
      <c r="L220" s="324"/>
      <c r="M220" s="324"/>
      <c r="N220" s="324"/>
    </row>
    <row r="221" spans="3:14" x14ac:dyDescent="0.2">
      <c r="C221" s="324"/>
      <c r="D221" s="324"/>
      <c r="E221" s="324"/>
      <c r="F221" s="324"/>
      <c r="G221" s="324"/>
      <c r="H221" s="324"/>
      <c r="I221" s="324"/>
      <c r="J221" s="324"/>
      <c r="K221" s="324"/>
      <c r="L221" s="324"/>
      <c r="M221" s="324"/>
      <c r="N221" s="324"/>
    </row>
    <row r="222" spans="3:14" x14ac:dyDescent="0.2">
      <c r="C222" s="324"/>
      <c r="D222" s="324"/>
      <c r="E222" s="324"/>
      <c r="F222" s="324"/>
      <c r="G222" s="324"/>
      <c r="H222" s="324"/>
      <c r="I222" s="324"/>
      <c r="J222" s="324"/>
      <c r="K222" s="324"/>
      <c r="L222" s="324"/>
      <c r="M222" s="324"/>
      <c r="N222" s="324"/>
    </row>
    <row r="223" spans="3:14" x14ac:dyDescent="0.2">
      <c r="C223" s="324"/>
      <c r="D223" s="324"/>
      <c r="E223" s="324"/>
      <c r="F223" s="324"/>
      <c r="G223" s="324"/>
      <c r="H223" s="324"/>
      <c r="I223" s="324"/>
      <c r="J223" s="324"/>
      <c r="K223" s="324"/>
      <c r="L223" s="324"/>
      <c r="M223" s="324"/>
      <c r="N223" s="324"/>
    </row>
    <row r="224" spans="3:14" x14ac:dyDescent="0.2">
      <c r="C224" s="324"/>
      <c r="D224" s="324"/>
      <c r="E224" s="324"/>
      <c r="F224" s="324"/>
      <c r="G224" s="324"/>
      <c r="H224" s="324"/>
      <c r="I224" s="324"/>
      <c r="J224" s="324"/>
      <c r="K224" s="324"/>
      <c r="L224" s="324"/>
      <c r="M224" s="324"/>
      <c r="N224" s="324"/>
    </row>
    <row r="225" spans="3:14" x14ac:dyDescent="0.2">
      <c r="C225" s="324"/>
      <c r="D225" s="324"/>
      <c r="E225" s="324"/>
      <c r="F225" s="324"/>
      <c r="G225" s="324"/>
      <c r="H225" s="324"/>
      <c r="I225" s="324"/>
      <c r="J225" s="324"/>
      <c r="K225" s="324"/>
      <c r="L225" s="324"/>
      <c r="M225" s="324"/>
      <c r="N225" s="324"/>
    </row>
    <row r="226" spans="3:14" x14ac:dyDescent="0.2">
      <c r="C226" s="324"/>
      <c r="D226" s="324"/>
      <c r="E226" s="324"/>
      <c r="F226" s="324"/>
      <c r="G226" s="324"/>
      <c r="H226" s="324"/>
      <c r="I226" s="324"/>
      <c r="J226" s="324"/>
      <c r="K226" s="324"/>
      <c r="L226" s="324"/>
      <c r="M226" s="324"/>
      <c r="N226" s="324"/>
    </row>
    <row r="227" spans="3:14" x14ac:dyDescent="0.2">
      <c r="C227" s="324"/>
      <c r="D227" s="324"/>
      <c r="E227" s="324"/>
      <c r="F227" s="324"/>
      <c r="G227" s="324"/>
      <c r="H227" s="324"/>
      <c r="I227" s="324"/>
      <c r="J227" s="324"/>
      <c r="K227" s="324"/>
      <c r="L227" s="324"/>
      <c r="M227" s="324"/>
      <c r="N227" s="324"/>
    </row>
    <row r="228" spans="3:14" x14ac:dyDescent="0.2">
      <c r="C228" s="324"/>
      <c r="D228" s="324"/>
      <c r="E228" s="324"/>
      <c r="F228" s="324"/>
      <c r="G228" s="324"/>
      <c r="H228" s="324"/>
      <c r="I228" s="324"/>
      <c r="J228" s="324"/>
      <c r="K228" s="324"/>
      <c r="L228" s="324"/>
      <c r="M228" s="324"/>
      <c r="N228" s="324"/>
    </row>
    <row r="229" spans="3:14" x14ac:dyDescent="0.2">
      <c r="C229" s="324"/>
      <c r="D229" s="324"/>
      <c r="E229" s="324"/>
      <c r="F229" s="324"/>
      <c r="G229" s="324"/>
      <c r="H229" s="324"/>
      <c r="I229" s="324"/>
      <c r="J229" s="324"/>
      <c r="K229" s="324"/>
      <c r="L229" s="324"/>
      <c r="M229" s="324"/>
      <c r="N229" s="324"/>
    </row>
    <row r="230" spans="3:14" x14ac:dyDescent="0.2">
      <c r="C230" s="324"/>
      <c r="D230" s="324"/>
      <c r="E230" s="324"/>
      <c r="F230" s="324"/>
      <c r="G230" s="324"/>
      <c r="H230" s="324"/>
      <c r="I230" s="324"/>
      <c r="J230" s="324"/>
      <c r="K230" s="324"/>
      <c r="L230" s="324"/>
      <c r="M230" s="324"/>
      <c r="N230" s="324"/>
    </row>
    <row r="231" spans="3:14" x14ac:dyDescent="0.2">
      <c r="C231" s="324"/>
      <c r="D231" s="324"/>
      <c r="E231" s="324"/>
      <c r="F231" s="324"/>
      <c r="G231" s="324"/>
      <c r="H231" s="324"/>
      <c r="I231" s="324"/>
      <c r="J231" s="324"/>
      <c r="K231" s="324"/>
      <c r="L231" s="324"/>
      <c r="M231" s="324"/>
      <c r="N231" s="324"/>
    </row>
    <row r="232" spans="3:14" x14ac:dyDescent="0.2">
      <c r="C232" s="324"/>
      <c r="D232" s="324"/>
      <c r="E232" s="324"/>
      <c r="F232" s="324"/>
      <c r="G232" s="324"/>
      <c r="H232" s="324"/>
      <c r="I232" s="324"/>
      <c r="J232" s="324"/>
      <c r="K232" s="324"/>
      <c r="L232" s="324"/>
      <c r="M232" s="324"/>
      <c r="N232" s="324"/>
    </row>
    <row r="233" spans="3:14" x14ac:dyDescent="0.2">
      <c r="C233" s="324"/>
      <c r="D233" s="324"/>
      <c r="E233" s="324"/>
      <c r="F233" s="324"/>
      <c r="G233" s="324"/>
      <c r="H233" s="324"/>
      <c r="I233" s="324"/>
      <c r="J233" s="324"/>
      <c r="K233" s="324"/>
      <c r="L233" s="324"/>
      <c r="M233" s="324"/>
      <c r="N233" s="324"/>
    </row>
    <row r="234" spans="3:14" x14ac:dyDescent="0.2">
      <c r="C234" s="324"/>
      <c r="D234" s="324"/>
      <c r="E234" s="324"/>
      <c r="F234" s="324"/>
      <c r="G234" s="324"/>
      <c r="H234" s="324"/>
      <c r="I234" s="324"/>
      <c r="J234" s="324"/>
      <c r="K234" s="324"/>
      <c r="L234" s="324"/>
      <c r="M234" s="324"/>
      <c r="N234" s="324"/>
    </row>
    <row r="235" spans="3:14" x14ac:dyDescent="0.2">
      <c r="C235" s="324"/>
      <c r="D235" s="324"/>
      <c r="E235" s="324"/>
      <c r="F235" s="324"/>
      <c r="G235" s="324"/>
      <c r="H235" s="324"/>
      <c r="I235" s="324"/>
      <c r="J235" s="324"/>
      <c r="K235" s="324"/>
      <c r="L235" s="324"/>
      <c r="M235" s="324"/>
      <c r="N235" s="324"/>
    </row>
    <row r="236" spans="3:14" x14ac:dyDescent="0.2">
      <c r="C236" s="324"/>
      <c r="D236" s="324"/>
      <c r="E236" s="324"/>
      <c r="F236" s="324"/>
      <c r="G236" s="324"/>
      <c r="H236" s="324"/>
      <c r="I236" s="324"/>
      <c r="J236" s="324"/>
      <c r="K236" s="324"/>
      <c r="L236" s="324"/>
      <c r="M236" s="324"/>
      <c r="N236" s="324"/>
    </row>
    <row r="237" spans="3:14" x14ac:dyDescent="0.2">
      <c r="C237" s="324"/>
      <c r="D237" s="324"/>
      <c r="E237" s="324"/>
      <c r="F237" s="324"/>
      <c r="G237" s="324"/>
      <c r="H237" s="324"/>
      <c r="I237" s="324"/>
      <c r="J237" s="324"/>
      <c r="K237" s="324"/>
      <c r="L237" s="324"/>
      <c r="M237" s="324"/>
      <c r="N237" s="324"/>
    </row>
    <row r="238" spans="3:14" x14ac:dyDescent="0.2">
      <c r="C238" s="324"/>
      <c r="D238" s="324"/>
      <c r="E238" s="324"/>
      <c r="F238" s="324"/>
      <c r="G238" s="324"/>
      <c r="H238" s="324"/>
      <c r="I238" s="324"/>
      <c r="J238" s="324"/>
      <c r="K238" s="324"/>
      <c r="L238" s="324"/>
      <c r="M238" s="324"/>
      <c r="N238" s="324"/>
    </row>
    <row r="239" spans="3:14" x14ac:dyDescent="0.2">
      <c r="C239" s="324"/>
      <c r="D239" s="324"/>
      <c r="E239" s="324"/>
      <c r="F239" s="324"/>
      <c r="G239" s="324"/>
      <c r="H239" s="324"/>
      <c r="I239" s="324"/>
      <c r="J239" s="324"/>
      <c r="K239" s="324"/>
      <c r="L239" s="324"/>
      <c r="M239" s="324"/>
      <c r="N239" s="324"/>
    </row>
    <row r="240" spans="3:14" x14ac:dyDescent="0.2">
      <c r="C240" s="324"/>
      <c r="D240" s="324"/>
      <c r="E240" s="324"/>
      <c r="F240" s="324"/>
      <c r="G240" s="324"/>
      <c r="H240" s="324"/>
      <c r="I240" s="324"/>
      <c r="J240" s="324"/>
      <c r="K240" s="324"/>
      <c r="L240" s="324"/>
      <c r="M240" s="324"/>
      <c r="N240" s="324"/>
    </row>
    <row r="241" spans="3:14" x14ac:dyDescent="0.2">
      <c r="C241" s="324"/>
      <c r="D241" s="324"/>
      <c r="E241" s="324"/>
      <c r="F241" s="324"/>
      <c r="G241" s="324"/>
      <c r="H241" s="324"/>
      <c r="I241" s="324"/>
      <c r="J241" s="324"/>
      <c r="K241" s="324"/>
      <c r="L241" s="324"/>
      <c r="M241" s="324"/>
      <c r="N241" s="324"/>
    </row>
    <row r="242" spans="3:14" x14ac:dyDescent="0.2">
      <c r="C242" s="324"/>
      <c r="D242" s="324"/>
      <c r="E242" s="324"/>
      <c r="F242" s="324"/>
      <c r="G242" s="324"/>
      <c r="H242" s="324"/>
      <c r="I242" s="324"/>
      <c r="J242" s="324"/>
      <c r="K242" s="324"/>
      <c r="L242" s="324"/>
      <c r="M242" s="324"/>
      <c r="N242" s="324"/>
    </row>
    <row r="243" spans="3:14" x14ac:dyDescent="0.2">
      <c r="C243" s="324"/>
      <c r="D243" s="324"/>
      <c r="E243" s="324"/>
      <c r="F243" s="324"/>
      <c r="G243" s="324"/>
      <c r="H243" s="324"/>
      <c r="I243" s="324"/>
      <c r="J243" s="324"/>
      <c r="K243" s="324"/>
      <c r="L243" s="324"/>
      <c r="M243" s="324"/>
      <c r="N243" s="324"/>
    </row>
    <row r="244" spans="3:14" x14ac:dyDescent="0.2">
      <c r="C244" s="324"/>
      <c r="D244" s="324"/>
      <c r="E244" s="324"/>
      <c r="F244" s="324"/>
      <c r="G244" s="324"/>
      <c r="H244" s="324"/>
      <c r="I244" s="324"/>
      <c r="J244" s="324"/>
      <c r="K244" s="324"/>
      <c r="L244" s="324"/>
      <c r="M244" s="324"/>
      <c r="N244" s="324"/>
    </row>
    <row r="245" spans="3:14" x14ac:dyDescent="0.2">
      <c r="C245" s="324"/>
      <c r="D245" s="324"/>
      <c r="E245" s="324"/>
      <c r="F245" s="324"/>
      <c r="G245" s="324"/>
      <c r="H245" s="324"/>
      <c r="I245" s="324"/>
      <c r="J245" s="324"/>
      <c r="K245" s="324"/>
      <c r="L245" s="324"/>
      <c r="M245" s="324"/>
      <c r="N245" s="324"/>
    </row>
    <row r="246" spans="3:14" x14ac:dyDescent="0.2">
      <c r="C246" s="324"/>
      <c r="D246" s="324"/>
      <c r="E246" s="324"/>
      <c r="F246" s="324"/>
      <c r="G246" s="324"/>
      <c r="H246" s="324"/>
      <c r="I246" s="324"/>
      <c r="J246" s="324"/>
      <c r="K246" s="324"/>
      <c r="L246" s="324"/>
      <c r="M246" s="324"/>
      <c r="N246" s="324"/>
    </row>
    <row r="247" spans="3:14" x14ac:dyDescent="0.2">
      <c r="C247" s="324"/>
      <c r="D247" s="324"/>
      <c r="E247" s="324"/>
      <c r="F247" s="324"/>
      <c r="G247" s="324"/>
      <c r="H247" s="324"/>
      <c r="I247" s="324"/>
      <c r="J247" s="324"/>
      <c r="K247" s="324"/>
      <c r="L247" s="324"/>
      <c r="M247" s="324"/>
      <c r="N247" s="324"/>
    </row>
    <row r="248" spans="3:14" x14ac:dyDescent="0.2">
      <c r="C248" s="324"/>
      <c r="D248" s="324"/>
      <c r="E248" s="324"/>
      <c r="F248" s="324"/>
      <c r="G248" s="324"/>
      <c r="H248" s="324"/>
      <c r="I248" s="324"/>
      <c r="J248" s="324"/>
      <c r="K248" s="324"/>
      <c r="L248" s="324"/>
      <c r="M248" s="324"/>
      <c r="N248" s="324"/>
    </row>
    <row r="249" spans="3:14" x14ac:dyDescent="0.2">
      <c r="C249" s="324"/>
      <c r="D249" s="324"/>
      <c r="E249" s="324"/>
      <c r="F249" s="324"/>
      <c r="G249" s="324"/>
      <c r="H249" s="324"/>
      <c r="I249" s="324"/>
      <c r="J249" s="324"/>
      <c r="K249" s="324"/>
      <c r="L249" s="324"/>
      <c r="M249" s="324"/>
      <c r="N249" s="324"/>
    </row>
    <row r="250" spans="3:14" x14ac:dyDescent="0.2">
      <c r="C250" s="324"/>
      <c r="D250" s="324"/>
      <c r="E250" s="324"/>
      <c r="F250" s="324"/>
      <c r="G250" s="324"/>
      <c r="H250" s="324"/>
      <c r="I250" s="324"/>
      <c r="J250" s="324"/>
      <c r="K250" s="324"/>
      <c r="L250" s="324"/>
      <c r="M250" s="324"/>
      <c r="N250" s="324"/>
    </row>
    <row r="251" spans="3:14" x14ac:dyDescent="0.2">
      <c r="C251" s="324"/>
      <c r="D251" s="324"/>
      <c r="E251" s="324"/>
      <c r="F251" s="324"/>
      <c r="G251" s="324"/>
      <c r="H251" s="324"/>
      <c r="I251" s="324"/>
      <c r="J251" s="324"/>
      <c r="K251" s="324"/>
      <c r="L251" s="324"/>
      <c r="M251" s="324"/>
      <c r="N251" s="324"/>
    </row>
    <row r="252" spans="3:14" x14ac:dyDescent="0.2">
      <c r="C252" s="324"/>
      <c r="D252" s="324"/>
      <c r="E252" s="324"/>
      <c r="F252" s="324"/>
      <c r="G252" s="324"/>
      <c r="H252" s="324"/>
      <c r="I252" s="324"/>
      <c r="J252" s="324"/>
      <c r="K252" s="324"/>
      <c r="L252" s="324"/>
      <c r="M252" s="324"/>
      <c r="N252" s="324"/>
    </row>
    <row r="253" spans="3:14" x14ac:dyDescent="0.2">
      <c r="C253" s="324"/>
      <c r="D253" s="324"/>
      <c r="E253" s="324"/>
      <c r="F253" s="324"/>
      <c r="G253" s="324"/>
      <c r="H253" s="324"/>
      <c r="I253" s="324"/>
      <c r="J253" s="324"/>
      <c r="K253" s="324"/>
      <c r="L253" s="324"/>
      <c r="M253" s="324"/>
      <c r="N253" s="324"/>
    </row>
    <row r="254" spans="3:14" x14ac:dyDescent="0.2">
      <c r="C254" s="324"/>
      <c r="D254" s="324"/>
      <c r="E254" s="324"/>
      <c r="F254" s="324"/>
      <c r="G254" s="324"/>
      <c r="H254" s="324"/>
      <c r="I254" s="324"/>
      <c r="J254" s="324"/>
      <c r="K254" s="324"/>
      <c r="L254" s="324"/>
      <c r="M254" s="324"/>
      <c r="N254" s="324"/>
    </row>
    <row r="255" spans="3:14" x14ac:dyDescent="0.2">
      <c r="C255" s="324"/>
      <c r="D255" s="324"/>
      <c r="E255" s="324"/>
      <c r="F255" s="324"/>
      <c r="G255" s="324"/>
      <c r="H255" s="324"/>
      <c r="I255" s="324"/>
      <c r="J255" s="324"/>
      <c r="K255" s="324"/>
      <c r="L255" s="324"/>
      <c r="M255" s="324"/>
      <c r="N255" s="324"/>
    </row>
    <row r="256" spans="3:14" x14ac:dyDescent="0.2">
      <c r="C256" s="324"/>
      <c r="D256" s="324"/>
      <c r="E256" s="324"/>
      <c r="F256" s="324"/>
      <c r="G256" s="324"/>
      <c r="H256" s="324"/>
      <c r="I256" s="324"/>
      <c r="J256" s="324"/>
      <c r="K256" s="324"/>
      <c r="L256" s="324"/>
      <c r="M256" s="324"/>
      <c r="N256" s="324"/>
    </row>
    <row r="257" spans="3:14" x14ac:dyDescent="0.2">
      <c r="C257" s="324"/>
      <c r="D257" s="324"/>
      <c r="E257" s="324"/>
      <c r="F257" s="324"/>
      <c r="G257" s="324"/>
      <c r="H257" s="324"/>
      <c r="I257" s="324"/>
      <c r="J257" s="324"/>
      <c r="K257" s="324"/>
      <c r="L257" s="324"/>
      <c r="M257" s="324"/>
      <c r="N257" s="324"/>
    </row>
    <row r="258" spans="3:14" x14ac:dyDescent="0.2">
      <c r="C258" s="324"/>
      <c r="D258" s="324"/>
      <c r="E258" s="324"/>
      <c r="F258" s="324"/>
      <c r="G258" s="324"/>
      <c r="H258" s="324"/>
      <c r="I258" s="324"/>
      <c r="J258" s="324"/>
      <c r="K258" s="324"/>
      <c r="L258" s="324"/>
      <c r="M258" s="324"/>
      <c r="N258" s="324"/>
    </row>
    <row r="259" spans="3:14" x14ac:dyDescent="0.2">
      <c r="C259" s="324"/>
      <c r="D259" s="324"/>
      <c r="E259" s="324"/>
      <c r="F259" s="324"/>
      <c r="G259" s="324"/>
      <c r="H259" s="324"/>
      <c r="I259" s="324"/>
      <c r="J259" s="324"/>
      <c r="K259" s="324"/>
      <c r="L259" s="324"/>
      <c r="M259" s="324"/>
      <c r="N259" s="324"/>
    </row>
    <row r="260" spans="3:14" x14ac:dyDescent="0.2">
      <c r="C260" s="324"/>
      <c r="D260" s="324"/>
      <c r="E260" s="324"/>
      <c r="F260" s="324"/>
      <c r="G260" s="324"/>
      <c r="H260" s="324"/>
      <c r="I260" s="324"/>
      <c r="J260" s="324"/>
      <c r="K260" s="324"/>
      <c r="L260" s="324"/>
      <c r="M260" s="324"/>
      <c r="N260" s="324"/>
    </row>
    <row r="261" spans="3:14" x14ac:dyDescent="0.2">
      <c r="C261" s="324"/>
      <c r="D261" s="324"/>
      <c r="E261" s="324"/>
      <c r="F261" s="324"/>
      <c r="G261" s="324"/>
      <c r="H261" s="324"/>
      <c r="I261" s="324"/>
      <c r="J261" s="324"/>
      <c r="K261" s="324"/>
      <c r="L261" s="324"/>
      <c r="M261" s="324"/>
      <c r="N261" s="324"/>
    </row>
    <row r="262" spans="3:14" x14ac:dyDescent="0.2">
      <c r="C262" s="324"/>
      <c r="D262" s="324"/>
      <c r="E262" s="324"/>
      <c r="F262" s="324"/>
      <c r="G262" s="324"/>
      <c r="H262" s="324"/>
      <c r="I262" s="324"/>
      <c r="J262" s="324"/>
      <c r="K262" s="324"/>
      <c r="L262" s="324"/>
      <c r="M262" s="324"/>
      <c r="N262" s="324"/>
    </row>
    <row r="263" spans="3:14" x14ac:dyDescent="0.2">
      <c r="C263" s="324"/>
      <c r="D263" s="324"/>
      <c r="E263" s="324"/>
      <c r="F263" s="324"/>
      <c r="G263" s="324"/>
      <c r="H263" s="324"/>
      <c r="I263" s="324"/>
      <c r="J263" s="324"/>
      <c r="K263" s="324"/>
      <c r="L263" s="324"/>
      <c r="M263" s="324"/>
      <c r="N263" s="324"/>
    </row>
    <row r="264" spans="3:14" x14ac:dyDescent="0.2">
      <c r="C264" s="324"/>
      <c r="D264" s="324"/>
      <c r="E264" s="324"/>
      <c r="F264" s="324"/>
      <c r="G264" s="324"/>
      <c r="H264" s="324"/>
      <c r="I264" s="324"/>
      <c r="J264" s="324"/>
      <c r="K264" s="324"/>
      <c r="L264" s="324"/>
      <c r="M264" s="324"/>
      <c r="N264" s="324"/>
    </row>
    <row r="265" spans="3:14" x14ac:dyDescent="0.2">
      <c r="C265" s="324"/>
      <c r="D265" s="324"/>
      <c r="E265" s="324"/>
      <c r="F265" s="324"/>
      <c r="G265" s="324"/>
      <c r="H265" s="324"/>
      <c r="I265" s="324"/>
      <c r="J265" s="324"/>
      <c r="K265" s="324"/>
      <c r="L265" s="324"/>
      <c r="M265" s="324"/>
      <c r="N265" s="324"/>
    </row>
    <row r="266" spans="3:14" x14ac:dyDescent="0.2">
      <c r="C266" s="324"/>
      <c r="D266" s="324"/>
      <c r="E266" s="324"/>
      <c r="F266" s="324"/>
      <c r="G266" s="324"/>
      <c r="H266" s="324"/>
      <c r="I266" s="324"/>
      <c r="J266" s="324"/>
      <c r="K266" s="324"/>
      <c r="L266" s="324"/>
      <c r="M266" s="324"/>
      <c r="N266" s="324"/>
    </row>
    <row r="267" spans="3:14" x14ac:dyDescent="0.2">
      <c r="C267" s="324"/>
      <c r="D267" s="324"/>
      <c r="E267" s="324"/>
      <c r="F267" s="324"/>
      <c r="G267" s="324"/>
      <c r="H267" s="324"/>
      <c r="I267" s="324"/>
      <c r="J267" s="324"/>
      <c r="K267" s="324"/>
      <c r="L267" s="324"/>
      <c r="M267" s="324"/>
      <c r="N267" s="324"/>
    </row>
    <row r="268" spans="3:14" x14ac:dyDescent="0.2">
      <c r="C268" s="324"/>
      <c r="D268" s="324"/>
      <c r="E268" s="324"/>
      <c r="F268" s="324"/>
      <c r="G268" s="324"/>
      <c r="H268" s="324"/>
      <c r="I268" s="324"/>
      <c r="J268" s="324"/>
      <c r="K268" s="324"/>
      <c r="L268" s="324"/>
      <c r="M268" s="324"/>
      <c r="N268" s="324"/>
    </row>
    <row r="269" spans="3:14" x14ac:dyDescent="0.2">
      <c r="C269" s="324"/>
      <c r="D269" s="324"/>
      <c r="E269" s="324"/>
      <c r="F269" s="324"/>
      <c r="G269" s="324"/>
      <c r="H269" s="324"/>
      <c r="I269" s="324"/>
      <c r="J269" s="324"/>
      <c r="K269" s="324"/>
      <c r="L269" s="324"/>
      <c r="M269" s="324"/>
      <c r="N269" s="324"/>
    </row>
    <row r="270" spans="3:14" x14ac:dyDescent="0.2">
      <c r="C270" s="324"/>
      <c r="D270" s="324"/>
      <c r="E270" s="324"/>
      <c r="F270" s="324"/>
      <c r="G270" s="324"/>
      <c r="H270" s="324"/>
      <c r="I270" s="324"/>
      <c r="J270" s="324"/>
      <c r="K270" s="324"/>
      <c r="L270" s="324"/>
      <c r="M270" s="324"/>
      <c r="N270" s="324"/>
    </row>
    <row r="271" spans="3:14" x14ac:dyDescent="0.2">
      <c r="C271" s="324"/>
      <c r="D271" s="324"/>
      <c r="E271" s="324"/>
      <c r="F271" s="324"/>
      <c r="G271" s="324"/>
      <c r="H271" s="324"/>
      <c r="I271" s="324"/>
      <c r="J271" s="324"/>
      <c r="K271" s="324"/>
      <c r="L271" s="324"/>
      <c r="M271" s="324"/>
      <c r="N271" s="324"/>
    </row>
    <row r="272" spans="3:14" x14ac:dyDescent="0.2">
      <c r="C272" s="324"/>
      <c r="D272" s="324"/>
      <c r="E272" s="324"/>
      <c r="F272" s="324"/>
      <c r="G272" s="324"/>
      <c r="H272" s="324"/>
      <c r="I272" s="324"/>
      <c r="J272" s="324"/>
      <c r="K272" s="324"/>
      <c r="L272" s="324"/>
      <c r="M272" s="324"/>
      <c r="N272" s="324"/>
    </row>
    <row r="273" spans="3:14" x14ac:dyDescent="0.2">
      <c r="C273" s="324"/>
      <c r="D273" s="324"/>
      <c r="E273" s="324"/>
      <c r="F273" s="324"/>
      <c r="G273" s="324"/>
      <c r="H273" s="324"/>
      <c r="I273" s="324"/>
      <c r="J273" s="324"/>
      <c r="K273" s="324"/>
      <c r="L273" s="324"/>
      <c r="M273" s="324"/>
      <c r="N273" s="324"/>
    </row>
    <row r="274" spans="3:14" x14ac:dyDescent="0.2">
      <c r="C274" s="324"/>
      <c r="D274" s="324"/>
      <c r="E274" s="324"/>
      <c r="F274" s="324"/>
      <c r="G274" s="324"/>
      <c r="H274" s="324"/>
      <c r="I274" s="324"/>
      <c r="J274" s="324"/>
      <c r="K274" s="324"/>
      <c r="L274" s="324"/>
      <c r="M274" s="324"/>
      <c r="N274" s="324"/>
    </row>
    <row r="275" spans="3:14" x14ac:dyDescent="0.2">
      <c r="C275" s="324"/>
      <c r="D275" s="324"/>
      <c r="E275" s="324"/>
      <c r="F275" s="324"/>
      <c r="G275" s="324"/>
      <c r="H275" s="324"/>
      <c r="I275" s="324"/>
      <c r="J275" s="324"/>
      <c r="K275" s="324"/>
      <c r="L275" s="324"/>
      <c r="M275" s="324"/>
      <c r="N275" s="324"/>
    </row>
    <row r="276" spans="3:14" x14ac:dyDescent="0.2">
      <c r="C276" s="324"/>
      <c r="D276" s="324"/>
      <c r="E276" s="324"/>
      <c r="F276" s="324"/>
      <c r="G276" s="324"/>
      <c r="H276" s="324"/>
      <c r="I276" s="324"/>
      <c r="J276" s="324"/>
      <c r="K276" s="324"/>
      <c r="L276" s="324"/>
      <c r="M276" s="324"/>
      <c r="N276" s="324"/>
    </row>
    <row r="277" spans="3:14" x14ac:dyDescent="0.2">
      <c r="C277" s="324"/>
      <c r="D277" s="324"/>
      <c r="E277" s="324"/>
      <c r="F277" s="324"/>
      <c r="G277" s="324"/>
      <c r="H277" s="324"/>
      <c r="I277" s="324"/>
      <c r="J277" s="324"/>
      <c r="K277" s="324"/>
      <c r="L277" s="324"/>
      <c r="M277" s="324"/>
      <c r="N277" s="324"/>
    </row>
    <row r="278" spans="3:14" x14ac:dyDescent="0.2">
      <c r="C278" s="324"/>
      <c r="D278" s="324"/>
      <c r="E278" s="324"/>
      <c r="F278" s="324"/>
      <c r="G278" s="324"/>
      <c r="H278" s="324"/>
      <c r="I278" s="324"/>
      <c r="J278" s="324"/>
      <c r="K278" s="324"/>
      <c r="L278" s="324"/>
      <c r="M278" s="324"/>
      <c r="N278" s="324"/>
    </row>
    <row r="279" spans="3:14" x14ac:dyDescent="0.2">
      <c r="C279" s="324"/>
      <c r="D279" s="324"/>
      <c r="E279" s="324"/>
      <c r="F279" s="324"/>
      <c r="G279" s="324"/>
      <c r="H279" s="324"/>
      <c r="I279" s="324"/>
      <c r="J279" s="324"/>
      <c r="K279" s="324"/>
      <c r="L279" s="324"/>
      <c r="M279" s="324"/>
      <c r="N279" s="324"/>
    </row>
    <row r="280" spans="3:14" x14ac:dyDescent="0.2">
      <c r="C280" s="324"/>
      <c r="D280" s="324"/>
      <c r="E280" s="324"/>
      <c r="F280" s="324"/>
      <c r="G280" s="324"/>
      <c r="H280" s="324"/>
      <c r="I280" s="324"/>
      <c r="J280" s="324"/>
      <c r="K280" s="324"/>
      <c r="L280" s="324"/>
      <c r="M280" s="324"/>
      <c r="N280" s="324"/>
    </row>
    <row r="281" spans="3:14" x14ac:dyDescent="0.2">
      <c r="C281" s="324"/>
      <c r="D281" s="324"/>
      <c r="E281" s="324"/>
      <c r="F281" s="324"/>
      <c r="G281" s="324"/>
      <c r="H281" s="324"/>
      <c r="I281" s="324"/>
      <c r="J281" s="324"/>
      <c r="K281" s="324"/>
      <c r="L281" s="324"/>
      <c r="M281" s="324"/>
      <c r="N281" s="324"/>
    </row>
    <row r="282" spans="3:14" x14ac:dyDescent="0.2">
      <c r="C282" s="324"/>
      <c r="D282" s="324"/>
      <c r="E282" s="324"/>
      <c r="F282" s="324"/>
      <c r="G282" s="324"/>
      <c r="H282" s="324"/>
      <c r="I282" s="324"/>
      <c r="J282" s="324"/>
      <c r="K282" s="324"/>
      <c r="L282" s="324"/>
      <c r="M282" s="324"/>
      <c r="N282" s="324"/>
    </row>
    <row r="283" spans="3:14" x14ac:dyDescent="0.2">
      <c r="C283" s="324"/>
      <c r="D283" s="324"/>
      <c r="E283" s="324"/>
      <c r="F283" s="324"/>
      <c r="G283" s="324"/>
      <c r="H283" s="324"/>
      <c r="I283" s="324"/>
      <c r="J283" s="324"/>
      <c r="K283" s="324"/>
      <c r="L283" s="324"/>
      <c r="M283" s="324"/>
      <c r="N283" s="324"/>
    </row>
    <row r="284" spans="3:14" x14ac:dyDescent="0.2">
      <c r="C284" s="324"/>
      <c r="D284" s="324"/>
      <c r="E284" s="324"/>
      <c r="F284" s="324"/>
      <c r="G284" s="324"/>
      <c r="H284" s="324"/>
      <c r="I284" s="324"/>
      <c r="J284" s="324"/>
      <c r="K284" s="324"/>
      <c r="L284" s="324"/>
      <c r="M284" s="324"/>
      <c r="N284" s="324"/>
    </row>
    <row r="285" spans="3:14" x14ac:dyDescent="0.2">
      <c r="C285" s="324"/>
      <c r="D285" s="324"/>
      <c r="E285" s="324"/>
      <c r="F285" s="324"/>
      <c r="G285" s="324"/>
      <c r="H285" s="324"/>
      <c r="I285" s="324"/>
      <c r="J285" s="324"/>
      <c r="K285" s="324"/>
      <c r="L285" s="324"/>
      <c r="M285" s="324"/>
      <c r="N285" s="324"/>
    </row>
    <row r="286" spans="3:14" x14ac:dyDescent="0.2">
      <c r="C286" s="324"/>
      <c r="D286" s="324"/>
      <c r="E286" s="324"/>
      <c r="F286" s="324"/>
      <c r="G286" s="324"/>
      <c r="H286" s="324"/>
      <c r="I286" s="324"/>
      <c r="J286" s="324"/>
      <c r="K286" s="324"/>
      <c r="L286" s="324"/>
      <c r="M286" s="324"/>
      <c r="N286" s="324"/>
    </row>
    <row r="287" spans="3:14" x14ac:dyDescent="0.2">
      <c r="C287" s="324"/>
      <c r="D287" s="324"/>
      <c r="E287" s="324"/>
      <c r="F287" s="324"/>
      <c r="G287" s="324"/>
      <c r="H287" s="324"/>
      <c r="I287" s="324"/>
      <c r="J287" s="324"/>
      <c r="K287" s="324"/>
      <c r="L287" s="324"/>
      <c r="M287" s="324"/>
      <c r="N287" s="324"/>
    </row>
    <row r="288" spans="3:14" x14ac:dyDescent="0.2">
      <c r="C288" s="324"/>
      <c r="D288" s="324"/>
      <c r="E288" s="324"/>
      <c r="F288" s="324"/>
      <c r="G288" s="324"/>
      <c r="H288" s="324"/>
      <c r="I288" s="324"/>
      <c r="J288" s="324"/>
      <c r="K288" s="324"/>
      <c r="L288" s="324"/>
      <c r="M288" s="324"/>
      <c r="N288" s="324"/>
    </row>
    <row r="289" spans="3:14" x14ac:dyDescent="0.2">
      <c r="C289" s="324"/>
      <c r="D289" s="324"/>
      <c r="E289" s="324"/>
      <c r="F289" s="324"/>
      <c r="G289" s="324"/>
      <c r="H289" s="324"/>
      <c r="I289" s="324"/>
      <c r="J289" s="324"/>
      <c r="K289" s="324"/>
      <c r="L289" s="324"/>
      <c r="M289" s="324"/>
      <c r="N289" s="324"/>
    </row>
    <row r="290" spans="3:14" x14ac:dyDescent="0.2">
      <c r="C290" s="324"/>
      <c r="D290" s="324"/>
      <c r="E290" s="324"/>
      <c r="F290" s="324"/>
      <c r="G290" s="324"/>
      <c r="H290" s="324"/>
      <c r="I290" s="324"/>
      <c r="J290" s="324"/>
      <c r="K290" s="324"/>
      <c r="L290" s="324"/>
      <c r="M290" s="324"/>
      <c r="N290" s="324"/>
    </row>
    <row r="291" spans="3:14" x14ac:dyDescent="0.2">
      <c r="C291" s="324"/>
      <c r="D291" s="324"/>
      <c r="E291" s="324"/>
      <c r="F291" s="324"/>
      <c r="G291" s="324"/>
      <c r="H291" s="324"/>
      <c r="I291" s="324"/>
      <c r="J291" s="324"/>
      <c r="K291" s="324"/>
      <c r="L291" s="324"/>
      <c r="M291" s="324"/>
      <c r="N291" s="324"/>
    </row>
    <row r="292" spans="3:14" x14ac:dyDescent="0.2">
      <c r="C292" s="324"/>
      <c r="D292" s="324"/>
      <c r="E292" s="324"/>
      <c r="F292" s="324"/>
      <c r="G292" s="324"/>
      <c r="H292" s="324"/>
      <c r="I292" s="324"/>
      <c r="J292" s="324"/>
      <c r="K292" s="324"/>
      <c r="L292" s="324"/>
      <c r="M292" s="324"/>
      <c r="N292" s="324"/>
    </row>
    <row r="293" spans="3:14" x14ac:dyDescent="0.2">
      <c r="C293" s="324"/>
      <c r="D293" s="324"/>
      <c r="E293" s="324"/>
      <c r="F293" s="324"/>
      <c r="G293" s="324"/>
      <c r="H293" s="324"/>
      <c r="I293" s="324"/>
      <c r="J293" s="324"/>
      <c r="K293" s="324"/>
      <c r="L293" s="324"/>
      <c r="M293" s="324"/>
      <c r="N293" s="324"/>
    </row>
    <row r="294" spans="3:14" x14ac:dyDescent="0.2">
      <c r="C294" s="324"/>
      <c r="D294" s="324"/>
      <c r="E294" s="324"/>
      <c r="F294" s="324"/>
      <c r="G294" s="324"/>
      <c r="H294" s="324"/>
      <c r="I294" s="324"/>
      <c r="J294" s="324"/>
      <c r="K294" s="324"/>
      <c r="L294" s="324"/>
      <c r="M294" s="324"/>
      <c r="N294" s="324"/>
    </row>
    <row r="295" spans="3:14" x14ac:dyDescent="0.2">
      <c r="C295" s="324"/>
      <c r="D295" s="324"/>
      <c r="E295" s="324"/>
      <c r="F295" s="324"/>
      <c r="G295" s="324"/>
      <c r="H295" s="324"/>
      <c r="I295" s="324"/>
      <c r="J295" s="324"/>
      <c r="K295" s="324"/>
      <c r="L295" s="324"/>
      <c r="M295" s="324"/>
      <c r="N295" s="324"/>
    </row>
    <row r="296" spans="3:14" x14ac:dyDescent="0.2">
      <c r="C296" s="324"/>
      <c r="D296" s="324"/>
      <c r="E296" s="324"/>
      <c r="F296" s="324"/>
      <c r="G296" s="324"/>
      <c r="H296" s="324"/>
      <c r="I296" s="324"/>
      <c r="J296" s="324"/>
      <c r="K296" s="324"/>
      <c r="L296" s="324"/>
      <c r="M296" s="324"/>
      <c r="N296" s="324"/>
    </row>
    <row r="297" spans="3:14" x14ac:dyDescent="0.2">
      <c r="C297" s="324"/>
      <c r="D297" s="324"/>
      <c r="E297" s="324"/>
      <c r="F297" s="324"/>
      <c r="G297" s="324"/>
      <c r="H297" s="324"/>
      <c r="I297" s="324"/>
      <c r="J297" s="324"/>
      <c r="K297" s="324"/>
      <c r="L297" s="324"/>
      <c r="M297" s="324"/>
      <c r="N297" s="324"/>
    </row>
    <row r="298" spans="3:14" x14ac:dyDescent="0.2">
      <c r="C298" s="324"/>
      <c r="D298" s="324"/>
      <c r="E298" s="324"/>
      <c r="F298" s="324"/>
      <c r="G298" s="324"/>
      <c r="H298" s="324"/>
      <c r="I298" s="324"/>
      <c r="J298" s="324"/>
      <c r="K298" s="324"/>
      <c r="L298" s="324"/>
      <c r="M298" s="324"/>
      <c r="N298" s="324"/>
    </row>
    <row r="299" spans="3:14" x14ac:dyDescent="0.2">
      <c r="C299" s="324"/>
      <c r="D299" s="324"/>
      <c r="E299" s="324"/>
      <c r="F299" s="324"/>
      <c r="G299" s="324"/>
      <c r="H299" s="324"/>
      <c r="I299" s="324"/>
      <c r="J299" s="324"/>
      <c r="K299" s="324"/>
      <c r="L299" s="324"/>
      <c r="M299" s="324"/>
      <c r="N299" s="324"/>
    </row>
    <row r="300" spans="3:14" x14ac:dyDescent="0.2">
      <c r="C300" s="324"/>
      <c r="D300" s="324"/>
      <c r="E300" s="324"/>
      <c r="F300" s="324"/>
      <c r="G300" s="324"/>
      <c r="H300" s="324"/>
      <c r="I300" s="324"/>
      <c r="J300" s="324"/>
      <c r="K300" s="324"/>
      <c r="L300" s="324"/>
      <c r="M300" s="324"/>
      <c r="N300" s="324"/>
    </row>
    <row r="301" spans="3:14" x14ac:dyDescent="0.2">
      <c r="C301" s="324"/>
      <c r="D301" s="324"/>
      <c r="E301" s="324"/>
      <c r="F301" s="324"/>
      <c r="G301" s="324"/>
      <c r="H301" s="324"/>
      <c r="I301" s="324"/>
      <c r="J301" s="324"/>
      <c r="K301" s="324"/>
      <c r="L301" s="324"/>
      <c r="M301" s="324"/>
      <c r="N301" s="324"/>
    </row>
    <row r="302" spans="3:14" x14ac:dyDescent="0.2">
      <c r="C302" s="324"/>
      <c r="D302" s="324"/>
      <c r="E302" s="324"/>
      <c r="F302" s="324"/>
      <c r="G302" s="324"/>
      <c r="H302" s="324"/>
      <c r="I302" s="324"/>
      <c r="J302" s="324"/>
      <c r="K302" s="324"/>
      <c r="L302" s="324"/>
      <c r="M302" s="324"/>
      <c r="N302" s="324"/>
    </row>
    <row r="303" spans="3:14" x14ac:dyDescent="0.2">
      <c r="C303" s="324"/>
      <c r="D303" s="324"/>
      <c r="E303" s="324"/>
      <c r="F303" s="324"/>
      <c r="G303" s="324"/>
      <c r="H303" s="324"/>
      <c r="I303" s="324"/>
      <c r="J303" s="324"/>
      <c r="K303" s="324"/>
      <c r="L303" s="324"/>
      <c r="M303" s="324"/>
      <c r="N303" s="324"/>
    </row>
    <row r="304" spans="3:14" x14ac:dyDescent="0.2">
      <c r="C304" s="324"/>
      <c r="D304" s="324"/>
      <c r="E304" s="324"/>
      <c r="F304" s="324"/>
      <c r="G304" s="324"/>
      <c r="H304" s="324"/>
      <c r="I304" s="324"/>
      <c r="J304" s="324"/>
      <c r="K304" s="324"/>
      <c r="L304" s="324"/>
      <c r="M304" s="324"/>
      <c r="N304" s="324"/>
    </row>
    <row r="305" spans="3:14" x14ac:dyDescent="0.2">
      <c r="C305" s="324"/>
      <c r="D305" s="324"/>
      <c r="E305" s="324"/>
      <c r="F305" s="324"/>
      <c r="G305" s="324"/>
      <c r="H305" s="324"/>
      <c r="I305" s="324"/>
      <c r="J305" s="324"/>
      <c r="K305" s="324"/>
      <c r="L305" s="324"/>
      <c r="M305" s="324"/>
      <c r="N305" s="324"/>
    </row>
    <row r="306" spans="3:14" x14ac:dyDescent="0.2">
      <c r="C306" s="324"/>
      <c r="D306" s="324"/>
      <c r="E306" s="324"/>
      <c r="F306" s="324"/>
      <c r="G306" s="324"/>
      <c r="H306" s="324"/>
      <c r="I306" s="324"/>
      <c r="J306" s="324"/>
      <c r="K306" s="324"/>
      <c r="L306" s="324"/>
      <c r="M306" s="324"/>
      <c r="N306" s="324"/>
    </row>
    <row r="307" spans="3:14" x14ac:dyDescent="0.2">
      <c r="C307" s="324"/>
      <c r="D307" s="324"/>
      <c r="E307" s="324"/>
      <c r="F307" s="324"/>
      <c r="G307" s="324"/>
      <c r="H307" s="324"/>
      <c r="I307" s="324"/>
      <c r="J307" s="324"/>
      <c r="K307" s="324"/>
      <c r="L307" s="324"/>
      <c r="M307" s="324"/>
      <c r="N307" s="324"/>
    </row>
    <row r="308" spans="3:14" x14ac:dyDescent="0.2">
      <c r="C308" s="324"/>
      <c r="D308" s="324"/>
      <c r="E308" s="324"/>
      <c r="F308" s="324"/>
      <c r="G308" s="324"/>
      <c r="H308" s="324"/>
      <c r="I308" s="324"/>
      <c r="J308" s="324"/>
      <c r="K308" s="324"/>
      <c r="L308" s="324"/>
      <c r="M308" s="324"/>
      <c r="N308" s="324"/>
    </row>
    <row r="309" spans="3:14" x14ac:dyDescent="0.2">
      <c r="C309" s="324"/>
      <c r="D309" s="324"/>
      <c r="E309" s="324"/>
      <c r="F309" s="324"/>
      <c r="G309" s="324"/>
      <c r="H309" s="324"/>
      <c r="I309" s="324"/>
      <c r="J309" s="324"/>
      <c r="K309" s="324"/>
      <c r="L309" s="324"/>
      <c r="M309" s="324"/>
      <c r="N309" s="324"/>
    </row>
    <row r="310" spans="3:14" x14ac:dyDescent="0.2">
      <c r="C310" s="324"/>
      <c r="D310" s="324"/>
      <c r="E310" s="324"/>
      <c r="F310" s="324"/>
      <c r="G310" s="324"/>
      <c r="H310" s="324"/>
      <c r="I310" s="324"/>
      <c r="J310" s="324"/>
      <c r="K310" s="324"/>
      <c r="L310" s="324"/>
      <c r="M310" s="324"/>
      <c r="N310" s="324"/>
    </row>
    <row r="311" spans="3:14" x14ac:dyDescent="0.2">
      <c r="C311" s="324"/>
      <c r="D311" s="324"/>
      <c r="E311" s="324"/>
      <c r="F311" s="324"/>
      <c r="G311" s="324"/>
      <c r="H311" s="324"/>
      <c r="I311" s="324"/>
      <c r="J311" s="324"/>
      <c r="K311" s="324"/>
      <c r="L311" s="324"/>
      <c r="M311" s="324"/>
      <c r="N311" s="324"/>
    </row>
    <row r="312" spans="3:14" x14ac:dyDescent="0.2">
      <c r="C312" s="324"/>
      <c r="D312" s="324"/>
      <c r="E312" s="324"/>
      <c r="F312" s="324"/>
      <c r="G312" s="324"/>
      <c r="H312" s="324"/>
      <c r="I312" s="324"/>
      <c r="J312" s="324"/>
      <c r="K312" s="324"/>
      <c r="L312" s="324"/>
      <c r="M312" s="324"/>
      <c r="N312" s="324"/>
    </row>
    <row r="313" spans="3:14" x14ac:dyDescent="0.2">
      <c r="C313" s="324"/>
      <c r="D313" s="324"/>
      <c r="E313" s="324"/>
      <c r="F313" s="324"/>
      <c r="G313" s="324"/>
      <c r="H313" s="324"/>
      <c r="I313" s="324"/>
      <c r="J313" s="324"/>
      <c r="K313" s="324"/>
      <c r="L313" s="324"/>
      <c r="M313" s="324"/>
      <c r="N313" s="324"/>
    </row>
    <row r="314" spans="3:14" x14ac:dyDescent="0.2">
      <c r="C314" s="324"/>
      <c r="D314" s="324"/>
      <c r="E314" s="324"/>
      <c r="F314" s="324"/>
      <c r="G314" s="324"/>
      <c r="H314" s="324"/>
      <c r="I314" s="324"/>
      <c r="J314" s="324"/>
      <c r="K314" s="324"/>
      <c r="L314" s="324"/>
      <c r="M314" s="324"/>
      <c r="N314" s="324"/>
    </row>
    <row r="315" spans="3:14" x14ac:dyDescent="0.2">
      <c r="C315" s="324"/>
      <c r="D315" s="324"/>
      <c r="E315" s="324"/>
      <c r="F315" s="324"/>
      <c r="G315" s="324"/>
      <c r="H315" s="324"/>
      <c r="I315" s="324"/>
      <c r="J315" s="324"/>
      <c r="K315" s="324"/>
      <c r="L315" s="324"/>
      <c r="M315" s="324"/>
      <c r="N315" s="324"/>
    </row>
    <row r="316" spans="3:14" x14ac:dyDescent="0.2">
      <c r="C316" s="324"/>
      <c r="D316" s="324"/>
      <c r="E316" s="324"/>
      <c r="F316" s="324"/>
      <c r="G316" s="324"/>
      <c r="H316" s="324"/>
      <c r="I316" s="324"/>
      <c r="J316" s="324"/>
      <c r="K316" s="324"/>
      <c r="L316" s="324"/>
      <c r="M316" s="324"/>
      <c r="N316" s="324"/>
    </row>
    <row r="317" spans="3:14" x14ac:dyDescent="0.2">
      <c r="C317" s="324"/>
      <c r="D317" s="324"/>
      <c r="E317" s="324"/>
      <c r="F317" s="324"/>
      <c r="G317" s="324"/>
      <c r="H317" s="324"/>
      <c r="I317" s="324"/>
      <c r="J317" s="324"/>
      <c r="K317" s="324"/>
      <c r="L317" s="324"/>
      <c r="M317" s="324"/>
      <c r="N317" s="324"/>
    </row>
    <row r="318" spans="3:14" x14ac:dyDescent="0.2">
      <c r="C318" s="324"/>
      <c r="D318" s="324"/>
      <c r="E318" s="324"/>
      <c r="F318" s="324"/>
      <c r="G318" s="324"/>
      <c r="H318" s="324"/>
      <c r="I318" s="324"/>
      <c r="J318" s="324"/>
      <c r="K318" s="324"/>
      <c r="L318" s="324"/>
      <c r="M318" s="324"/>
      <c r="N318" s="324"/>
    </row>
    <row r="319" spans="3:14" x14ac:dyDescent="0.2">
      <c r="C319" s="324"/>
      <c r="D319" s="324"/>
      <c r="E319" s="324"/>
      <c r="F319" s="324"/>
      <c r="G319" s="324"/>
      <c r="H319" s="324"/>
      <c r="I319" s="324"/>
      <c r="J319" s="324"/>
      <c r="K319" s="324"/>
      <c r="L319" s="324"/>
      <c r="M319" s="324"/>
      <c r="N319" s="324"/>
    </row>
    <row r="320" spans="3:14" x14ac:dyDescent="0.2">
      <c r="C320" s="324"/>
      <c r="D320" s="324"/>
      <c r="E320" s="324"/>
      <c r="F320" s="324"/>
      <c r="G320" s="324"/>
      <c r="H320" s="324"/>
      <c r="I320" s="324"/>
      <c r="J320" s="324"/>
      <c r="K320" s="324"/>
      <c r="L320" s="324"/>
      <c r="M320" s="324"/>
      <c r="N320" s="324"/>
    </row>
    <row r="321" spans="3:14" x14ac:dyDescent="0.2">
      <c r="C321" s="324"/>
      <c r="D321" s="324"/>
      <c r="E321" s="324"/>
      <c r="F321" s="324"/>
      <c r="G321" s="324"/>
      <c r="H321" s="324"/>
      <c r="I321" s="324"/>
      <c r="J321" s="324"/>
      <c r="K321" s="324"/>
      <c r="L321" s="324"/>
      <c r="M321" s="324"/>
      <c r="N321" s="324"/>
    </row>
    <row r="322" spans="3:14" x14ac:dyDescent="0.2">
      <c r="C322" s="324"/>
      <c r="D322" s="324"/>
      <c r="E322" s="324"/>
      <c r="F322" s="324"/>
      <c r="G322" s="324"/>
      <c r="H322" s="324"/>
      <c r="I322" s="324"/>
      <c r="J322" s="324"/>
      <c r="K322" s="324"/>
      <c r="L322" s="324"/>
      <c r="M322" s="324"/>
      <c r="N322" s="324"/>
    </row>
    <row r="323" spans="3:14" x14ac:dyDescent="0.2">
      <c r="C323" s="324"/>
      <c r="D323" s="324"/>
      <c r="E323" s="324"/>
      <c r="F323" s="324"/>
      <c r="G323" s="324"/>
      <c r="H323" s="324"/>
      <c r="I323" s="324"/>
      <c r="J323" s="324"/>
      <c r="K323" s="324"/>
      <c r="L323" s="324"/>
      <c r="M323" s="324"/>
      <c r="N323" s="324"/>
    </row>
    <row r="324" spans="3:14" x14ac:dyDescent="0.2">
      <c r="C324" s="324"/>
      <c r="D324" s="324"/>
      <c r="E324" s="324"/>
      <c r="F324" s="324"/>
      <c r="G324" s="324"/>
      <c r="H324" s="324"/>
      <c r="I324" s="324"/>
      <c r="J324" s="324"/>
      <c r="K324" s="324"/>
      <c r="L324" s="324"/>
      <c r="M324" s="324"/>
      <c r="N324" s="324"/>
    </row>
    <row r="325" spans="3:14" x14ac:dyDescent="0.2">
      <c r="C325" s="324"/>
      <c r="D325" s="324"/>
      <c r="E325" s="324"/>
      <c r="F325" s="324"/>
      <c r="G325" s="324"/>
      <c r="H325" s="324"/>
      <c r="I325" s="324"/>
      <c r="J325" s="324"/>
      <c r="K325" s="324"/>
      <c r="L325" s="324"/>
      <c r="M325" s="324"/>
      <c r="N325" s="324"/>
    </row>
    <row r="326" spans="3:14" x14ac:dyDescent="0.2">
      <c r="C326" s="324"/>
      <c r="D326" s="324"/>
      <c r="E326" s="324"/>
      <c r="F326" s="324"/>
      <c r="G326" s="324"/>
      <c r="H326" s="324"/>
      <c r="I326" s="324"/>
      <c r="J326" s="324"/>
      <c r="K326" s="324"/>
      <c r="L326" s="324"/>
      <c r="M326" s="324"/>
      <c r="N326" s="324"/>
    </row>
    <row r="327" spans="3:14" x14ac:dyDescent="0.2">
      <c r="C327" s="324"/>
      <c r="D327" s="324"/>
      <c r="E327" s="324"/>
      <c r="F327" s="324"/>
      <c r="G327" s="324"/>
      <c r="H327" s="324"/>
      <c r="I327" s="324"/>
      <c r="J327" s="324"/>
      <c r="K327" s="324"/>
      <c r="L327" s="324"/>
      <c r="M327" s="324"/>
      <c r="N327" s="324"/>
    </row>
    <row r="328" spans="3:14" x14ac:dyDescent="0.2">
      <c r="C328" s="324"/>
      <c r="D328" s="324"/>
      <c r="E328" s="324"/>
      <c r="F328" s="324"/>
      <c r="G328" s="324"/>
      <c r="H328" s="324"/>
      <c r="I328" s="324"/>
      <c r="J328" s="324"/>
      <c r="K328" s="324"/>
      <c r="L328" s="324"/>
      <c r="M328" s="324"/>
      <c r="N328" s="324"/>
    </row>
    <row r="329" spans="3:14" x14ac:dyDescent="0.2">
      <c r="C329" s="324"/>
      <c r="D329" s="324"/>
      <c r="E329" s="324"/>
      <c r="F329" s="324"/>
      <c r="G329" s="324"/>
      <c r="H329" s="324"/>
      <c r="I329" s="324"/>
      <c r="J329" s="324"/>
      <c r="K329" s="324"/>
      <c r="L329" s="324"/>
      <c r="M329" s="324"/>
      <c r="N329" s="324"/>
    </row>
    <row r="330" spans="3:14" x14ac:dyDescent="0.2">
      <c r="C330" s="324"/>
      <c r="D330" s="324"/>
      <c r="E330" s="324"/>
      <c r="F330" s="324"/>
      <c r="G330" s="324"/>
      <c r="H330" s="324"/>
      <c r="I330" s="324"/>
      <c r="J330" s="324"/>
      <c r="K330" s="324"/>
      <c r="L330" s="324"/>
      <c r="M330" s="324"/>
      <c r="N330" s="324"/>
    </row>
    <row r="331" spans="3:14" x14ac:dyDescent="0.2">
      <c r="C331" s="324"/>
      <c r="D331" s="324"/>
      <c r="E331" s="324"/>
      <c r="F331" s="324"/>
      <c r="G331" s="324"/>
      <c r="H331" s="324"/>
      <c r="I331" s="324"/>
      <c r="J331" s="324"/>
      <c r="K331" s="324"/>
      <c r="L331" s="324"/>
      <c r="M331" s="324"/>
      <c r="N331" s="324"/>
    </row>
    <row r="332" spans="3:14" x14ac:dyDescent="0.2">
      <c r="C332" s="324"/>
      <c r="D332" s="324"/>
      <c r="E332" s="324"/>
      <c r="F332" s="324"/>
      <c r="G332" s="324"/>
      <c r="H332" s="324"/>
      <c r="I332" s="324"/>
      <c r="J332" s="324"/>
      <c r="K332" s="324"/>
      <c r="L332" s="324"/>
      <c r="M332" s="324"/>
      <c r="N332" s="324"/>
    </row>
    <row r="333" spans="3:14" x14ac:dyDescent="0.2">
      <c r="C333" s="324"/>
      <c r="D333" s="324"/>
      <c r="E333" s="324"/>
      <c r="F333" s="324"/>
      <c r="G333" s="324"/>
      <c r="H333" s="324"/>
      <c r="I333" s="324"/>
      <c r="J333" s="324"/>
      <c r="K333" s="324"/>
      <c r="L333" s="324"/>
      <c r="M333" s="324"/>
      <c r="N333" s="324"/>
    </row>
    <row r="334" spans="3:14" x14ac:dyDescent="0.2">
      <c r="C334" s="324"/>
      <c r="D334" s="324"/>
      <c r="E334" s="324"/>
      <c r="F334" s="324"/>
      <c r="G334" s="324"/>
      <c r="H334" s="324"/>
      <c r="I334" s="324"/>
      <c r="J334" s="324"/>
      <c r="K334" s="324"/>
      <c r="L334" s="324"/>
      <c r="M334" s="324"/>
      <c r="N334" s="324"/>
    </row>
    <row r="335" spans="3:14" x14ac:dyDescent="0.2">
      <c r="C335" s="324"/>
      <c r="D335" s="324"/>
      <c r="E335" s="324"/>
      <c r="F335" s="324"/>
      <c r="G335" s="324"/>
      <c r="H335" s="324"/>
      <c r="I335" s="324"/>
      <c r="J335" s="324"/>
      <c r="K335" s="324"/>
      <c r="L335" s="324"/>
      <c r="M335" s="324"/>
      <c r="N335" s="324"/>
    </row>
    <row r="336" spans="3:14" x14ac:dyDescent="0.2">
      <c r="C336" s="324"/>
      <c r="D336" s="324"/>
      <c r="E336" s="324"/>
      <c r="F336" s="324"/>
      <c r="G336" s="324"/>
      <c r="H336" s="324"/>
      <c r="I336" s="324"/>
      <c r="J336" s="324"/>
      <c r="K336" s="324"/>
      <c r="L336" s="324"/>
      <c r="M336" s="324"/>
      <c r="N336" s="324"/>
    </row>
    <row r="337" spans="3:14" x14ac:dyDescent="0.2">
      <c r="C337" s="324"/>
      <c r="D337" s="324"/>
      <c r="E337" s="324"/>
      <c r="F337" s="324"/>
      <c r="G337" s="324"/>
      <c r="H337" s="324"/>
      <c r="I337" s="324"/>
      <c r="J337" s="324"/>
      <c r="K337" s="324"/>
      <c r="L337" s="324"/>
      <c r="M337" s="324"/>
      <c r="N337" s="324"/>
    </row>
    <row r="338" spans="3:14" x14ac:dyDescent="0.2">
      <c r="C338" s="324"/>
      <c r="D338" s="324"/>
      <c r="E338" s="324"/>
      <c r="F338" s="324"/>
      <c r="G338" s="324"/>
      <c r="H338" s="324"/>
      <c r="I338" s="324"/>
      <c r="J338" s="324"/>
      <c r="K338" s="324"/>
      <c r="L338" s="324"/>
      <c r="M338" s="324"/>
      <c r="N338" s="324"/>
    </row>
    <row r="339" spans="3:14" x14ac:dyDescent="0.2">
      <c r="C339" s="324"/>
      <c r="D339" s="324"/>
      <c r="E339" s="324"/>
      <c r="F339" s="324"/>
      <c r="G339" s="324"/>
      <c r="H339" s="324"/>
      <c r="I339" s="324"/>
      <c r="J339" s="324"/>
      <c r="K339" s="324"/>
      <c r="L339" s="324"/>
      <c r="M339" s="324"/>
      <c r="N339" s="324"/>
    </row>
    <row r="340" spans="3:14" x14ac:dyDescent="0.2">
      <c r="C340" s="324"/>
      <c r="D340" s="324"/>
      <c r="E340" s="324"/>
      <c r="F340" s="324"/>
      <c r="G340" s="324"/>
      <c r="H340" s="324"/>
      <c r="I340" s="324"/>
      <c r="J340" s="324"/>
      <c r="K340" s="324"/>
      <c r="L340" s="324"/>
      <c r="M340" s="324"/>
      <c r="N340" s="324"/>
    </row>
    <row r="341" spans="3:14" x14ac:dyDescent="0.2">
      <c r="C341" s="324"/>
      <c r="D341" s="324"/>
      <c r="E341" s="324"/>
      <c r="F341" s="324"/>
      <c r="G341" s="324"/>
      <c r="H341" s="324"/>
      <c r="I341" s="324"/>
      <c r="J341" s="324"/>
      <c r="K341" s="324"/>
      <c r="L341" s="324"/>
      <c r="M341" s="324"/>
      <c r="N341" s="324"/>
    </row>
    <row r="342" spans="3:14" x14ac:dyDescent="0.2">
      <c r="C342" s="324"/>
      <c r="D342" s="324"/>
      <c r="E342" s="324"/>
      <c r="F342" s="324"/>
      <c r="G342" s="324"/>
      <c r="H342" s="324"/>
      <c r="I342" s="324"/>
      <c r="J342" s="324"/>
      <c r="K342" s="324"/>
      <c r="L342" s="324"/>
      <c r="M342" s="324"/>
      <c r="N342" s="324"/>
    </row>
    <row r="343" spans="3:14" x14ac:dyDescent="0.2">
      <c r="C343" s="324"/>
      <c r="D343" s="324"/>
      <c r="E343" s="324"/>
      <c r="F343" s="324"/>
      <c r="G343" s="324"/>
      <c r="H343" s="324"/>
      <c r="I343" s="324"/>
      <c r="J343" s="324"/>
      <c r="K343" s="324"/>
      <c r="L343" s="324"/>
      <c r="M343" s="324"/>
      <c r="N343" s="324"/>
    </row>
    <row r="344" spans="3:14" x14ac:dyDescent="0.2">
      <c r="C344" s="324"/>
      <c r="D344" s="324"/>
      <c r="E344" s="324"/>
      <c r="F344" s="324"/>
      <c r="G344" s="324"/>
      <c r="H344" s="324"/>
      <c r="I344" s="324"/>
      <c r="J344" s="324"/>
      <c r="K344" s="324"/>
      <c r="L344" s="324"/>
      <c r="M344" s="324"/>
      <c r="N344" s="324"/>
    </row>
    <row r="345" spans="3:14" x14ac:dyDescent="0.2">
      <c r="C345" s="324"/>
      <c r="D345" s="324"/>
      <c r="E345" s="324"/>
      <c r="F345" s="324"/>
      <c r="G345" s="324"/>
      <c r="H345" s="324"/>
      <c r="I345" s="324"/>
      <c r="J345" s="324"/>
      <c r="K345" s="324"/>
      <c r="L345" s="324"/>
      <c r="M345" s="324"/>
      <c r="N345" s="324"/>
    </row>
    <row r="346" spans="3:14" x14ac:dyDescent="0.2">
      <c r="C346" s="324"/>
      <c r="D346" s="324"/>
      <c r="E346" s="324"/>
      <c r="F346" s="324"/>
      <c r="G346" s="324"/>
      <c r="H346" s="324"/>
      <c r="I346" s="324"/>
      <c r="J346" s="324"/>
      <c r="K346" s="324"/>
      <c r="L346" s="324"/>
      <c r="M346" s="324"/>
      <c r="N346" s="324"/>
    </row>
    <row r="347" spans="3:14" x14ac:dyDescent="0.2">
      <c r="C347" s="324"/>
      <c r="D347" s="324"/>
      <c r="E347" s="324"/>
      <c r="F347" s="324"/>
      <c r="G347" s="324"/>
      <c r="H347" s="324"/>
      <c r="I347" s="324"/>
      <c r="J347" s="324"/>
      <c r="K347" s="324"/>
      <c r="L347" s="324"/>
      <c r="M347" s="324"/>
      <c r="N347" s="324"/>
    </row>
    <row r="348" spans="3:14" x14ac:dyDescent="0.2">
      <c r="C348" s="324"/>
      <c r="D348" s="324"/>
      <c r="E348" s="324"/>
      <c r="F348" s="324"/>
      <c r="G348" s="324"/>
      <c r="H348" s="324"/>
      <c r="I348" s="324"/>
      <c r="J348" s="324"/>
      <c r="K348" s="324"/>
      <c r="L348" s="324"/>
      <c r="M348" s="324"/>
      <c r="N348" s="324"/>
    </row>
    <row r="349" spans="3:14" x14ac:dyDescent="0.2">
      <c r="C349" s="324"/>
      <c r="D349" s="324"/>
      <c r="E349" s="324"/>
      <c r="F349" s="324"/>
      <c r="G349" s="324"/>
      <c r="H349" s="324"/>
      <c r="I349" s="324"/>
      <c r="J349" s="324"/>
      <c r="K349" s="324"/>
      <c r="L349" s="324"/>
      <c r="M349" s="324"/>
      <c r="N349" s="324"/>
    </row>
    <row r="350" spans="3:14" x14ac:dyDescent="0.2">
      <c r="C350" s="324"/>
      <c r="D350" s="324"/>
      <c r="E350" s="324"/>
      <c r="F350" s="324"/>
      <c r="G350" s="324"/>
      <c r="H350" s="324"/>
      <c r="I350" s="324"/>
      <c r="J350" s="324"/>
      <c r="K350" s="324"/>
      <c r="L350" s="324"/>
      <c r="M350" s="324"/>
      <c r="N350" s="324"/>
    </row>
    <row r="351" spans="3:14" x14ac:dyDescent="0.2">
      <c r="C351" s="324"/>
      <c r="D351" s="324"/>
      <c r="E351" s="324"/>
      <c r="F351" s="324"/>
      <c r="G351" s="324"/>
      <c r="H351" s="324"/>
      <c r="I351" s="324"/>
      <c r="J351" s="324"/>
      <c r="K351" s="324"/>
      <c r="L351" s="324"/>
      <c r="M351" s="324"/>
      <c r="N351" s="324"/>
    </row>
    <row r="352" spans="3:14" x14ac:dyDescent="0.2">
      <c r="C352" s="324"/>
      <c r="D352" s="324"/>
      <c r="E352" s="324"/>
      <c r="F352" s="324"/>
      <c r="G352" s="324"/>
      <c r="H352" s="324"/>
      <c r="I352" s="324"/>
      <c r="J352" s="324"/>
      <c r="K352" s="324"/>
      <c r="L352" s="324"/>
      <c r="M352" s="324"/>
      <c r="N352" s="324"/>
    </row>
    <row r="353" spans="3:14" x14ac:dyDescent="0.2">
      <c r="C353" s="324"/>
      <c r="D353" s="324"/>
      <c r="E353" s="324"/>
      <c r="F353" s="324"/>
      <c r="G353" s="324"/>
      <c r="H353" s="324"/>
      <c r="I353" s="324"/>
      <c r="J353" s="324"/>
      <c r="K353" s="324"/>
      <c r="L353" s="324"/>
      <c r="M353" s="324"/>
      <c r="N353" s="324"/>
    </row>
    <row r="354" spans="3:14" x14ac:dyDescent="0.2">
      <c r="C354" s="324"/>
      <c r="D354" s="324"/>
      <c r="E354" s="324"/>
      <c r="F354" s="324"/>
      <c r="G354" s="324"/>
      <c r="H354" s="324"/>
      <c r="I354" s="324"/>
      <c r="J354" s="324"/>
      <c r="K354" s="324"/>
      <c r="L354" s="324"/>
      <c r="M354" s="324"/>
      <c r="N354" s="324"/>
    </row>
    <row r="355" spans="3:14" x14ac:dyDescent="0.2">
      <c r="C355" s="324"/>
      <c r="D355" s="324"/>
      <c r="E355" s="324"/>
      <c r="F355" s="324"/>
      <c r="G355" s="324"/>
      <c r="H355" s="324"/>
      <c r="I355" s="324"/>
      <c r="J355" s="324"/>
      <c r="K355" s="324"/>
      <c r="L355" s="324"/>
      <c r="M355" s="324"/>
      <c r="N355" s="324"/>
    </row>
    <row r="356" spans="3:14" x14ac:dyDescent="0.2">
      <c r="C356" s="324"/>
      <c r="D356" s="324"/>
      <c r="E356" s="324"/>
      <c r="F356" s="324"/>
      <c r="G356" s="324"/>
      <c r="H356" s="324"/>
      <c r="I356" s="324"/>
      <c r="J356" s="324"/>
      <c r="K356" s="324"/>
      <c r="L356" s="324"/>
      <c r="M356" s="324"/>
      <c r="N356" s="324"/>
    </row>
    <row r="357" spans="3:14" x14ac:dyDescent="0.2">
      <c r="C357" s="324"/>
      <c r="D357" s="324"/>
      <c r="E357" s="324"/>
      <c r="F357" s="324"/>
      <c r="G357" s="324"/>
      <c r="H357" s="324"/>
      <c r="I357" s="324"/>
      <c r="J357" s="324"/>
      <c r="K357" s="324"/>
      <c r="L357" s="324"/>
      <c r="M357" s="324"/>
      <c r="N357" s="324"/>
    </row>
    <row r="358" spans="3:14" x14ac:dyDescent="0.2">
      <c r="C358" s="324"/>
      <c r="D358" s="324"/>
      <c r="E358" s="324"/>
      <c r="F358" s="324"/>
      <c r="G358" s="324"/>
      <c r="H358" s="324"/>
      <c r="I358" s="324"/>
      <c r="J358" s="324"/>
      <c r="K358" s="324"/>
      <c r="L358" s="324"/>
      <c r="M358" s="324"/>
      <c r="N358" s="324"/>
    </row>
    <row r="359" spans="3:14" x14ac:dyDescent="0.2">
      <c r="C359" s="324"/>
      <c r="D359" s="324"/>
      <c r="E359" s="324"/>
      <c r="F359" s="324"/>
      <c r="G359" s="324"/>
      <c r="H359" s="324"/>
      <c r="I359" s="324"/>
      <c r="J359" s="324"/>
      <c r="K359" s="324"/>
      <c r="L359" s="324"/>
      <c r="M359" s="324"/>
      <c r="N359" s="324"/>
    </row>
    <row r="360" spans="3:14" x14ac:dyDescent="0.2">
      <c r="C360" s="324"/>
      <c r="D360" s="324"/>
      <c r="E360" s="324"/>
      <c r="F360" s="324"/>
      <c r="G360" s="324"/>
      <c r="H360" s="324"/>
      <c r="I360" s="324"/>
      <c r="J360" s="324"/>
      <c r="K360" s="324"/>
      <c r="L360" s="324"/>
      <c r="M360" s="324"/>
      <c r="N360" s="324"/>
    </row>
    <row r="361" spans="3:14" x14ac:dyDescent="0.2">
      <c r="C361" s="324"/>
      <c r="D361" s="324"/>
      <c r="E361" s="324"/>
      <c r="F361" s="324"/>
      <c r="G361" s="324"/>
      <c r="H361" s="324"/>
      <c r="I361" s="324"/>
      <c r="J361" s="324"/>
      <c r="K361" s="324"/>
      <c r="L361" s="324"/>
      <c r="M361" s="324"/>
      <c r="N361" s="324"/>
    </row>
    <row r="362" spans="3:14" x14ac:dyDescent="0.2">
      <c r="C362" s="324"/>
      <c r="D362" s="324"/>
      <c r="E362" s="324"/>
      <c r="F362" s="324"/>
      <c r="G362" s="324"/>
      <c r="H362" s="324"/>
      <c r="I362" s="324"/>
      <c r="J362" s="324"/>
      <c r="K362" s="324"/>
      <c r="L362" s="324"/>
      <c r="M362" s="324"/>
      <c r="N362" s="324"/>
    </row>
    <row r="363" spans="3:14" x14ac:dyDescent="0.2">
      <c r="C363" s="324"/>
      <c r="D363" s="324"/>
      <c r="E363" s="324"/>
      <c r="F363" s="324"/>
      <c r="G363" s="324"/>
      <c r="H363" s="324"/>
      <c r="I363" s="324"/>
      <c r="J363" s="324"/>
      <c r="K363" s="324"/>
      <c r="L363" s="324"/>
      <c r="M363" s="324"/>
      <c r="N363" s="324"/>
    </row>
    <row r="364" spans="3:14" x14ac:dyDescent="0.2">
      <c r="C364" s="324"/>
      <c r="D364" s="324"/>
      <c r="E364" s="324"/>
      <c r="F364" s="324"/>
      <c r="G364" s="324"/>
      <c r="H364" s="324"/>
      <c r="I364" s="324"/>
      <c r="J364" s="324"/>
      <c r="K364" s="324"/>
      <c r="L364" s="324"/>
      <c r="M364" s="324"/>
      <c r="N364" s="324"/>
    </row>
    <row r="365" spans="3:14" x14ac:dyDescent="0.2">
      <c r="C365" s="324"/>
      <c r="D365" s="324"/>
      <c r="E365" s="324"/>
      <c r="F365" s="324"/>
      <c r="G365" s="324"/>
      <c r="H365" s="324"/>
      <c r="I365" s="324"/>
      <c r="J365" s="324"/>
      <c r="K365" s="324"/>
      <c r="L365" s="324"/>
      <c r="M365" s="324"/>
      <c r="N365" s="324"/>
    </row>
    <row r="366" spans="3:14" x14ac:dyDescent="0.2">
      <c r="C366" s="324"/>
      <c r="D366" s="324"/>
      <c r="E366" s="324"/>
      <c r="F366" s="324"/>
      <c r="G366" s="324"/>
      <c r="H366" s="324"/>
      <c r="I366" s="324"/>
      <c r="J366" s="324"/>
      <c r="K366" s="324"/>
      <c r="L366" s="324"/>
      <c r="M366" s="324"/>
      <c r="N366" s="324"/>
    </row>
    <row r="367" spans="3:14" x14ac:dyDescent="0.2">
      <c r="C367" s="324"/>
      <c r="D367" s="324"/>
      <c r="E367" s="324"/>
      <c r="F367" s="324"/>
      <c r="G367" s="324"/>
      <c r="H367" s="324"/>
      <c r="I367" s="324"/>
      <c r="J367" s="324"/>
      <c r="K367" s="324"/>
      <c r="L367" s="324"/>
      <c r="M367" s="324"/>
      <c r="N367" s="324"/>
    </row>
    <row r="368" spans="3:14" x14ac:dyDescent="0.2">
      <c r="C368" s="324"/>
      <c r="D368" s="324"/>
      <c r="E368" s="324"/>
      <c r="F368" s="324"/>
      <c r="G368" s="324"/>
      <c r="H368" s="324"/>
      <c r="I368" s="324"/>
      <c r="J368" s="324"/>
      <c r="K368" s="324"/>
      <c r="L368" s="324"/>
      <c r="M368" s="324"/>
      <c r="N368" s="324"/>
    </row>
    <row r="369" spans="3:14" x14ac:dyDescent="0.2">
      <c r="C369" s="324"/>
      <c r="D369" s="324"/>
      <c r="E369" s="324"/>
      <c r="F369" s="324"/>
      <c r="G369" s="324"/>
      <c r="H369" s="324"/>
      <c r="I369" s="324"/>
      <c r="J369" s="324"/>
      <c r="K369" s="324"/>
      <c r="L369" s="324"/>
      <c r="M369" s="324"/>
      <c r="N369" s="324"/>
    </row>
    <row r="370" spans="3:14" x14ac:dyDescent="0.2">
      <c r="C370" s="324"/>
      <c r="D370" s="324"/>
      <c r="E370" s="324"/>
      <c r="F370" s="324"/>
      <c r="G370" s="324"/>
      <c r="H370" s="324"/>
      <c r="I370" s="324"/>
      <c r="J370" s="324"/>
      <c r="K370" s="324"/>
      <c r="L370" s="324"/>
      <c r="M370" s="324"/>
      <c r="N370" s="324"/>
    </row>
    <row r="371" spans="3:14" x14ac:dyDescent="0.2">
      <c r="C371" s="324"/>
      <c r="D371" s="324"/>
      <c r="E371" s="324"/>
      <c r="F371" s="324"/>
      <c r="G371" s="324"/>
      <c r="H371" s="324"/>
      <c r="I371" s="324"/>
      <c r="J371" s="324"/>
      <c r="K371" s="324"/>
      <c r="L371" s="324"/>
      <c r="M371" s="324"/>
      <c r="N371" s="324"/>
    </row>
    <row r="372" spans="3:14" x14ac:dyDescent="0.2">
      <c r="C372" s="324"/>
      <c r="D372" s="324"/>
      <c r="E372" s="324"/>
      <c r="F372" s="324"/>
      <c r="G372" s="324"/>
      <c r="H372" s="324"/>
      <c r="I372" s="324"/>
      <c r="J372" s="324"/>
      <c r="K372" s="324"/>
      <c r="L372" s="324"/>
      <c r="M372" s="324"/>
      <c r="N372" s="324"/>
    </row>
    <row r="373" spans="3:14" x14ac:dyDescent="0.2">
      <c r="C373" s="324"/>
      <c r="D373" s="324"/>
      <c r="E373" s="324"/>
      <c r="F373" s="324"/>
      <c r="G373" s="324"/>
      <c r="H373" s="324"/>
      <c r="I373" s="324"/>
      <c r="J373" s="324"/>
      <c r="K373" s="324"/>
      <c r="L373" s="324"/>
      <c r="M373" s="324"/>
      <c r="N373" s="324"/>
    </row>
    <row r="374" spans="3:14" x14ac:dyDescent="0.2">
      <c r="C374" s="324"/>
      <c r="D374" s="324"/>
      <c r="E374" s="324"/>
      <c r="F374" s="324"/>
      <c r="G374" s="324"/>
      <c r="H374" s="324"/>
      <c r="I374" s="324"/>
      <c r="J374" s="324"/>
      <c r="K374" s="324"/>
      <c r="L374" s="324"/>
      <c r="M374" s="324"/>
      <c r="N374" s="324"/>
    </row>
    <row r="375" spans="3:14" x14ac:dyDescent="0.2">
      <c r="C375" s="324"/>
      <c r="D375" s="324"/>
      <c r="E375" s="324"/>
      <c r="F375" s="324"/>
      <c r="G375" s="324"/>
      <c r="H375" s="324"/>
      <c r="I375" s="324"/>
      <c r="J375" s="324"/>
      <c r="K375" s="324"/>
      <c r="L375" s="324"/>
      <c r="M375" s="324"/>
      <c r="N375" s="324"/>
    </row>
    <row r="376" spans="3:14" x14ac:dyDescent="0.2">
      <c r="C376" s="324"/>
      <c r="D376" s="324"/>
      <c r="E376" s="324"/>
      <c r="F376" s="324"/>
      <c r="G376" s="324"/>
      <c r="H376" s="324"/>
      <c r="I376" s="324"/>
      <c r="J376" s="324"/>
      <c r="K376" s="324"/>
      <c r="L376" s="324"/>
      <c r="M376" s="324"/>
      <c r="N376" s="324"/>
    </row>
    <row r="377" spans="3:14" x14ac:dyDescent="0.2">
      <c r="C377" s="324"/>
      <c r="D377" s="324"/>
      <c r="E377" s="324"/>
      <c r="F377" s="324"/>
      <c r="G377" s="324"/>
      <c r="H377" s="324"/>
      <c r="I377" s="324"/>
      <c r="J377" s="324"/>
      <c r="K377" s="324"/>
      <c r="L377" s="324"/>
      <c r="M377" s="324"/>
      <c r="N377" s="324"/>
    </row>
    <row r="378" spans="3:14" x14ac:dyDescent="0.2">
      <c r="C378" s="324"/>
      <c r="D378" s="324"/>
      <c r="E378" s="324"/>
      <c r="F378" s="324"/>
      <c r="G378" s="324"/>
      <c r="H378" s="324"/>
      <c r="I378" s="324"/>
      <c r="J378" s="324"/>
      <c r="K378" s="324"/>
      <c r="L378" s="324"/>
      <c r="M378" s="324"/>
      <c r="N378" s="324"/>
    </row>
    <row r="379" spans="3:14" x14ac:dyDescent="0.2">
      <c r="C379" s="324"/>
      <c r="D379" s="324"/>
      <c r="E379" s="324"/>
      <c r="F379" s="324"/>
      <c r="G379" s="324"/>
      <c r="H379" s="324"/>
      <c r="I379" s="324"/>
      <c r="J379" s="324"/>
      <c r="K379" s="324"/>
      <c r="L379" s="324"/>
      <c r="M379" s="324"/>
      <c r="N379" s="324"/>
    </row>
    <row r="380" spans="3:14" x14ac:dyDescent="0.2">
      <c r="C380" s="324"/>
      <c r="D380" s="324"/>
      <c r="E380" s="324"/>
      <c r="F380" s="324"/>
      <c r="G380" s="324"/>
      <c r="H380" s="324"/>
      <c r="I380" s="324"/>
      <c r="J380" s="324"/>
      <c r="K380" s="324"/>
      <c r="L380" s="324"/>
      <c r="M380" s="324"/>
      <c r="N380" s="324"/>
    </row>
    <row r="381" spans="3:14" x14ac:dyDescent="0.2">
      <c r="C381" s="324"/>
      <c r="D381" s="324"/>
      <c r="E381" s="324"/>
      <c r="F381" s="324"/>
      <c r="G381" s="324"/>
      <c r="H381" s="324"/>
      <c r="I381" s="324"/>
      <c r="J381" s="324"/>
      <c r="K381" s="324"/>
      <c r="L381" s="324"/>
      <c r="M381" s="324"/>
      <c r="N381" s="324"/>
    </row>
    <row r="382" spans="3:14" x14ac:dyDescent="0.2">
      <c r="C382" s="324"/>
      <c r="D382" s="324"/>
      <c r="E382" s="324"/>
      <c r="F382" s="324"/>
      <c r="G382" s="324"/>
      <c r="H382" s="324"/>
      <c r="I382" s="324"/>
      <c r="J382" s="324"/>
      <c r="K382" s="324"/>
      <c r="L382" s="324"/>
      <c r="M382" s="324"/>
      <c r="N382" s="324"/>
    </row>
    <row r="383" spans="3:14" x14ac:dyDescent="0.2">
      <c r="C383" s="324"/>
      <c r="D383" s="324"/>
      <c r="E383" s="324"/>
      <c r="F383" s="324"/>
      <c r="G383" s="324"/>
      <c r="H383" s="324"/>
      <c r="I383" s="324"/>
      <c r="J383" s="324"/>
      <c r="K383" s="324"/>
      <c r="L383" s="324"/>
      <c r="M383" s="324"/>
      <c r="N383" s="324"/>
    </row>
    <row r="384" spans="3:14" x14ac:dyDescent="0.2">
      <c r="C384" s="324"/>
      <c r="D384" s="324"/>
      <c r="E384" s="324"/>
      <c r="F384" s="324"/>
      <c r="G384" s="324"/>
      <c r="H384" s="324"/>
      <c r="I384" s="324"/>
      <c r="J384" s="324"/>
      <c r="K384" s="324"/>
      <c r="L384" s="324"/>
      <c r="M384" s="324"/>
      <c r="N384" s="324"/>
    </row>
    <row r="385" spans="3:14" x14ac:dyDescent="0.2">
      <c r="C385" s="324"/>
      <c r="D385" s="324"/>
      <c r="E385" s="324"/>
      <c r="F385" s="324"/>
      <c r="G385" s="324"/>
      <c r="H385" s="324"/>
      <c r="I385" s="324"/>
      <c r="J385" s="324"/>
      <c r="K385" s="324"/>
      <c r="L385" s="324"/>
      <c r="M385" s="324"/>
      <c r="N385" s="324"/>
    </row>
    <row r="386" spans="3:14" x14ac:dyDescent="0.2">
      <c r="C386" s="324"/>
      <c r="D386" s="324"/>
      <c r="E386" s="324"/>
      <c r="F386" s="324"/>
      <c r="G386" s="324"/>
      <c r="H386" s="324"/>
      <c r="I386" s="324"/>
      <c r="J386" s="324"/>
      <c r="K386" s="324"/>
      <c r="L386" s="324"/>
      <c r="M386" s="324"/>
      <c r="N386" s="324"/>
    </row>
    <row r="387" spans="3:14" x14ac:dyDescent="0.2">
      <c r="C387" s="324"/>
      <c r="D387" s="324"/>
      <c r="E387" s="324"/>
      <c r="F387" s="324"/>
      <c r="G387" s="324"/>
      <c r="H387" s="324"/>
      <c r="I387" s="324"/>
      <c r="J387" s="324"/>
      <c r="K387" s="324"/>
      <c r="L387" s="324"/>
      <c r="M387" s="324"/>
      <c r="N387" s="324"/>
    </row>
    <row r="388" spans="3:14" x14ac:dyDescent="0.2">
      <c r="C388" s="324"/>
      <c r="D388" s="324"/>
      <c r="E388" s="324"/>
      <c r="F388" s="324"/>
      <c r="G388" s="324"/>
      <c r="H388" s="324"/>
      <c r="I388" s="324"/>
      <c r="J388" s="324"/>
      <c r="K388" s="324"/>
      <c r="L388" s="324"/>
      <c r="M388" s="324"/>
      <c r="N388" s="324"/>
    </row>
    <row r="389" spans="3:14" x14ac:dyDescent="0.2">
      <c r="C389" s="324"/>
      <c r="D389" s="324"/>
      <c r="E389" s="324"/>
      <c r="F389" s="324"/>
      <c r="G389" s="324"/>
      <c r="H389" s="324"/>
      <c r="I389" s="324"/>
      <c r="J389" s="324"/>
      <c r="K389" s="324"/>
      <c r="L389" s="324"/>
      <c r="M389" s="324"/>
      <c r="N389" s="324"/>
    </row>
    <row r="390" spans="3:14" x14ac:dyDescent="0.2">
      <c r="C390" s="324"/>
      <c r="D390" s="324"/>
      <c r="E390" s="324"/>
      <c r="F390" s="324"/>
      <c r="G390" s="324"/>
      <c r="H390" s="324"/>
      <c r="I390" s="324"/>
      <c r="J390" s="324"/>
      <c r="K390" s="324"/>
      <c r="L390" s="324"/>
      <c r="M390" s="324"/>
      <c r="N390" s="324"/>
    </row>
    <row r="391" spans="3:14" x14ac:dyDescent="0.2">
      <c r="C391" s="324"/>
      <c r="D391" s="324"/>
      <c r="E391" s="324"/>
      <c r="F391" s="324"/>
      <c r="G391" s="324"/>
      <c r="H391" s="324"/>
      <c r="I391" s="324"/>
      <c r="J391" s="324"/>
      <c r="K391" s="324"/>
      <c r="L391" s="324"/>
      <c r="M391" s="324"/>
      <c r="N391" s="324"/>
    </row>
    <row r="392" spans="3:14" x14ac:dyDescent="0.2">
      <c r="C392" s="324"/>
      <c r="D392" s="324"/>
      <c r="E392" s="324"/>
      <c r="F392" s="324"/>
      <c r="G392" s="324"/>
      <c r="H392" s="324"/>
      <c r="I392" s="324"/>
      <c r="J392" s="324"/>
      <c r="K392" s="324"/>
      <c r="L392" s="324"/>
      <c r="M392" s="324"/>
      <c r="N392" s="324"/>
    </row>
    <row r="393" spans="3:14" x14ac:dyDescent="0.2">
      <c r="C393" s="324"/>
      <c r="D393" s="324"/>
      <c r="E393" s="324"/>
      <c r="F393" s="324"/>
      <c r="G393" s="324"/>
      <c r="H393" s="324"/>
      <c r="I393" s="324"/>
      <c r="J393" s="324"/>
      <c r="K393" s="324"/>
      <c r="L393" s="324"/>
      <c r="M393" s="324"/>
      <c r="N393" s="324"/>
    </row>
    <row r="394" spans="3:14" x14ac:dyDescent="0.2">
      <c r="C394" s="324"/>
      <c r="D394" s="324"/>
      <c r="E394" s="324"/>
      <c r="F394" s="324"/>
      <c r="G394" s="324"/>
      <c r="H394" s="324"/>
      <c r="I394" s="324"/>
      <c r="J394" s="324"/>
      <c r="K394" s="324"/>
      <c r="L394" s="324"/>
      <c r="M394" s="324"/>
      <c r="N394" s="324"/>
    </row>
    <row r="395" spans="3:14" x14ac:dyDescent="0.2">
      <c r="C395" s="324"/>
      <c r="D395" s="324"/>
      <c r="E395" s="324"/>
      <c r="F395" s="324"/>
      <c r="G395" s="324"/>
      <c r="H395" s="324"/>
      <c r="I395" s="324"/>
      <c r="J395" s="324"/>
      <c r="K395" s="324"/>
      <c r="L395" s="324"/>
      <c r="M395" s="324"/>
      <c r="N395" s="324"/>
    </row>
    <row r="396" spans="3:14" x14ac:dyDescent="0.2">
      <c r="C396" s="324"/>
      <c r="D396" s="324"/>
      <c r="E396" s="324"/>
      <c r="F396" s="324"/>
      <c r="G396" s="324"/>
      <c r="H396" s="324"/>
      <c r="I396" s="324"/>
      <c r="J396" s="324"/>
      <c r="K396" s="324"/>
      <c r="L396" s="324"/>
      <c r="M396" s="324"/>
      <c r="N396" s="324"/>
    </row>
    <row r="397" spans="3:14" x14ac:dyDescent="0.2">
      <c r="C397" s="324"/>
      <c r="D397" s="324"/>
      <c r="E397" s="324"/>
      <c r="F397" s="324"/>
      <c r="G397" s="324"/>
      <c r="H397" s="324"/>
      <c r="I397" s="324"/>
      <c r="J397" s="324"/>
      <c r="K397" s="324"/>
      <c r="L397" s="324"/>
      <c r="M397" s="324"/>
      <c r="N397" s="324"/>
    </row>
    <row r="398" spans="3:14" x14ac:dyDescent="0.2">
      <c r="C398" s="324"/>
      <c r="D398" s="324"/>
      <c r="E398" s="324"/>
      <c r="F398" s="324"/>
      <c r="G398" s="324"/>
      <c r="H398" s="324"/>
      <c r="I398" s="324"/>
      <c r="J398" s="324"/>
      <c r="K398" s="324"/>
      <c r="L398" s="324"/>
      <c r="M398" s="324"/>
      <c r="N398" s="324"/>
    </row>
    <row r="399" spans="3:14" x14ac:dyDescent="0.2">
      <c r="C399" s="324"/>
      <c r="D399" s="324"/>
      <c r="E399" s="324"/>
      <c r="F399" s="324"/>
      <c r="G399" s="324"/>
      <c r="H399" s="324"/>
      <c r="I399" s="324"/>
      <c r="J399" s="324"/>
      <c r="K399" s="324"/>
      <c r="L399" s="324"/>
      <c r="M399" s="324"/>
      <c r="N399" s="324"/>
    </row>
    <row r="400" spans="3:14" x14ac:dyDescent="0.2">
      <c r="C400" s="324"/>
      <c r="D400" s="324"/>
      <c r="E400" s="324"/>
      <c r="F400" s="324"/>
      <c r="G400" s="324"/>
      <c r="H400" s="324"/>
      <c r="I400" s="324"/>
      <c r="J400" s="324"/>
      <c r="K400" s="324"/>
      <c r="L400" s="324"/>
      <c r="M400" s="324"/>
      <c r="N400" s="324"/>
    </row>
    <row r="401" spans="3:14" x14ac:dyDescent="0.2">
      <c r="C401" s="324"/>
      <c r="D401" s="324"/>
      <c r="E401" s="324"/>
      <c r="F401" s="324"/>
      <c r="G401" s="324"/>
      <c r="H401" s="324"/>
      <c r="I401" s="324"/>
      <c r="J401" s="324"/>
      <c r="K401" s="324"/>
      <c r="L401" s="324"/>
      <c r="M401" s="324"/>
      <c r="N401" s="324"/>
    </row>
    <row r="402" spans="3:14" x14ac:dyDescent="0.2">
      <c r="C402" s="324"/>
      <c r="D402" s="324"/>
      <c r="E402" s="324"/>
      <c r="F402" s="324"/>
      <c r="G402" s="324"/>
      <c r="H402" s="324"/>
      <c r="I402" s="324"/>
      <c r="J402" s="324"/>
      <c r="K402" s="324"/>
      <c r="L402" s="324"/>
      <c r="M402" s="324"/>
      <c r="N402" s="324"/>
    </row>
    <row r="403" spans="3:14" x14ac:dyDescent="0.2">
      <c r="C403" s="324"/>
      <c r="D403" s="324"/>
      <c r="E403" s="324"/>
      <c r="F403" s="324"/>
      <c r="G403" s="324"/>
      <c r="H403" s="324"/>
      <c r="I403" s="324"/>
      <c r="J403" s="324"/>
      <c r="K403" s="324"/>
      <c r="L403" s="324"/>
      <c r="M403" s="324"/>
      <c r="N403" s="324"/>
    </row>
    <row r="404" spans="3:14" x14ac:dyDescent="0.2">
      <c r="C404" s="324"/>
      <c r="D404" s="324"/>
      <c r="E404" s="324"/>
      <c r="F404" s="324"/>
      <c r="G404" s="324"/>
      <c r="H404" s="324"/>
      <c r="I404" s="324"/>
      <c r="J404" s="324"/>
      <c r="K404" s="324"/>
      <c r="L404" s="324"/>
      <c r="M404" s="324"/>
      <c r="N404" s="324"/>
    </row>
    <row r="405" spans="3:14" x14ac:dyDescent="0.2">
      <c r="C405" s="324"/>
      <c r="D405" s="324"/>
      <c r="E405" s="324"/>
      <c r="F405" s="324"/>
      <c r="G405" s="324"/>
      <c r="H405" s="324"/>
      <c r="I405" s="324"/>
      <c r="J405" s="324"/>
      <c r="K405" s="324"/>
      <c r="L405" s="324"/>
      <c r="M405" s="324"/>
      <c r="N405" s="324"/>
    </row>
    <row r="406" spans="3:14" x14ac:dyDescent="0.2">
      <c r="C406" s="324"/>
      <c r="D406" s="324"/>
      <c r="E406" s="324"/>
      <c r="F406" s="324"/>
      <c r="G406" s="324"/>
      <c r="H406" s="324"/>
      <c r="I406" s="324"/>
      <c r="J406" s="324"/>
      <c r="K406" s="324"/>
      <c r="L406" s="324"/>
      <c r="M406" s="324"/>
      <c r="N406" s="324"/>
    </row>
    <row r="407" spans="3:14" x14ac:dyDescent="0.2">
      <c r="C407" s="324"/>
      <c r="D407" s="324"/>
      <c r="E407" s="324"/>
      <c r="F407" s="324"/>
      <c r="G407" s="324"/>
      <c r="H407" s="324"/>
      <c r="I407" s="324"/>
      <c r="J407" s="324"/>
      <c r="K407" s="324"/>
      <c r="L407" s="324"/>
      <c r="M407" s="324"/>
      <c r="N407" s="324"/>
    </row>
    <row r="408" spans="3:14" x14ac:dyDescent="0.2">
      <c r="C408" s="324"/>
      <c r="D408" s="324"/>
      <c r="E408" s="324"/>
      <c r="F408" s="324"/>
      <c r="G408" s="324"/>
      <c r="H408" s="324"/>
      <c r="I408" s="324"/>
      <c r="J408" s="324"/>
      <c r="K408" s="324"/>
      <c r="L408" s="324"/>
      <c r="M408" s="324"/>
      <c r="N408" s="324"/>
    </row>
    <row r="409" spans="3:14" x14ac:dyDescent="0.2">
      <c r="C409" s="324"/>
      <c r="D409" s="324"/>
      <c r="E409" s="324"/>
      <c r="F409" s="324"/>
      <c r="G409" s="324"/>
      <c r="H409" s="324"/>
      <c r="I409" s="324"/>
      <c r="J409" s="324"/>
      <c r="K409" s="324"/>
      <c r="L409" s="324"/>
      <c r="M409" s="324"/>
      <c r="N409" s="324"/>
    </row>
    <row r="410" spans="3:14" x14ac:dyDescent="0.2">
      <c r="C410" s="324"/>
      <c r="D410" s="324"/>
      <c r="E410" s="324"/>
      <c r="F410" s="324"/>
      <c r="G410" s="324"/>
      <c r="H410" s="324"/>
      <c r="I410" s="324"/>
      <c r="J410" s="324"/>
      <c r="K410" s="324"/>
      <c r="L410" s="324"/>
      <c r="M410" s="324"/>
      <c r="N410" s="324"/>
    </row>
    <row r="411" spans="3:14" x14ac:dyDescent="0.2">
      <c r="C411" s="324"/>
      <c r="D411" s="324"/>
      <c r="E411" s="324"/>
      <c r="F411" s="324"/>
      <c r="G411" s="324"/>
      <c r="H411" s="324"/>
      <c r="I411" s="324"/>
      <c r="J411" s="324"/>
      <c r="K411" s="324"/>
      <c r="L411" s="324"/>
      <c r="M411" s="324"/>
      <c r="N411" s="324"/>
    </row>
    <row r="412" spans="3:14" x14ac:dyDescent="0.2">
      <c r="C412" s="324"/>
      <c r="D412" s="324"/>
      <c r="E412" s="324"/>
      <c r="F412" s="324"/>
      <c r="G412" s="324"/>
      <c r="H412" s="324"/>
      <c r="I412" s="324"/>
      <c r="J412" s="324"/>
      <c r="K412" s="324"/>
      <c r="L412" s="324"/>
      <c r="M412" s="324"/>
      <c r="N412" s="324"/>
    </row>
    <row r="413" spans="3:14" x14ac:dyDescent="0.2">
      <c r="C413" s="324"/>
      <c r="D413" s="324"/>
      <c r="E413" s="324"/>
      <c r="F413" s="324"/>
      <c r="G413" s="324"/>
      <c r="H413" s="324"/>
      <c r="I413" s="324"/>
      <c r="J413" s="324"/>
      <c r="K413" s="324"/>
      <c r="L413" s="324"/>
      <c r="M413" s="324"/>
      <c r="N413" s="324"/>
    </row>
    <row r="414" spans="3:14" x14ac:dyDescent="0.2">
      <c r="C414" s="324"/>
      <c r="D414" s="324"/>
      <c r="E414" s="324"/>
      <c r="F414" s="324"/>
      <c r="G414" s="324"/>
      <c r="H414" s="324"/>
      <c r="I414" s="324"/>
      <c r="J414" s="324"/>
      <c r="K414" s="324"/>
      <c r="L414" s="324"/>
      <c r="M414" s="324"/>
      <c r="N414" s="324"/>
    </row>
    <row r="415" spans="3:14" x14ac:dyDescent="0.2">
      <c r="C415" s="324"/>
      <c r="D415" s="324"/>
      <c r="E415" s="324"/>
      <c r="F415" s="324"/>
      <c r="G415" s="324"/>
      <c r="H415" s="324"/>
      <c r="I415" s="324"/>
      <c r="J415" s="324"/>
      <c r="K415" s="324"/>
      <c r="L415" s="324"/>
      <c r="M415" s="324"/>
      <c r="N415" s="324"/>
    </row>
    <row r="416" spans="3:14" x14ac:dyDescent="0.2">
      <c r="C416" s="324"/>
      <c r="D416" s="324"/>
      <c r="E416" s="324"/>
      <c r="F416" s="324"/>
      <c r="G416" s="324"/>
      <c r="H416" s="324"/>
      <c r="I416" s="324"/>
      <c r="J416" s="324"/>
      <c r="K416" s="324"/>
      <c r="L416" s="324"/>
      <c r="M416" s="324"/>
      <c r="N416" s="324"/>
    </row>
    <row r="417" spans="3:14" x14ac:dyDescent="0.2">
      <c r="C417" s="324"/>
      <c r="D417" s="324"/>
      <c r="E417" s="324"/>
      <c r="F417" s="324"/>
      <c r="G417" s="324"/>
      <c r="H417" s="324"/>
      <c r="I417" s="324"/>
      <c r="J417" s="324"/>
      <c r="K417" s="324"/>
      <c r="L417" s="324"/>
      <c r="M417" s="324"/>
      <c r="N417" s="324"/>
    </row>
    <row r="418" spans="3:14" x14ac:dyDescent="0.2">
      <c r="C418" s="324"/>
      <c r="D418" s="324"/>
      <c r="E418" s="324"/>
      <c r="F418" s="324"/>
      <c r="G418" s="324"/>
      <c r="H418" s="324"/>
      <c r="I418" s="324"/>
      <c r="J418" s="324"/>
      <c r="K418" s="324"/>
      <c r="L418" s="324"/>
      <c r="M418" s="324"/>
      <c r="N418" s="324"/>
    </row>
    <row r="419" spans="3:14" x14ac:dyDescent="0.2">
      <c r="C419" s="324"/>
      <c r="D419" s="324"/>
      <c r="E419" s="324"/>
      <c r="F419" s="324"/>
      <c r="G419" s="324"/>
      <c r="H419" s="324"/>
      <c r="I419" s="324"/>
      <c r="J419" s="324"/>
      <c r="K419" s="324"/>
      <c r="L419" s="324"/>
      <c r="M419" s="324"/>
      <c r="N419" s="324"/>
    </row>
    <row r="420" spans="3:14" x14ac:dyDescent="0.2">
      <c r="C420" s="324"/>
      <c r="D420" s="324"/>
      <c r="E420" s="324"/>
      <c r="F420" s="324"/>
      <c r="G420" s="324"/>
      <c r="H420" s="324"/>
      <c r="I420" s="324"/>
      <c r="J420" s="324"/>
      <c r="K420" s="324"/>
      <c r="L420" s="324"/>
      <c r="M420" s="324"/>
      <c r="N420" s="324"/>
    </row>
    <row r="421" spans="3:14" x14ac:dyDescent="0.2">
      <c r="C421" s="324"/>
      <c r="D421" s="324"/>
      <c r="E421" s="324"/>
      <c r="F421" s="324"/>
      <c r="G421" s="324"/>
      <c r="H421" s="324"/>
      <c r="I421" s="324"/>
      <c r="J421" s="324"/>
      <c r="K421" s="324"/>
      <c r="L421" s="324"/>
      <c r="M421" s="324"/>
      <c r="N421" s="324"/>
    </row>
    <row r="422" spans="3:14" x14ac:dyDescent="0.2">
      <c r="C422" s="324"/>
      <c r="D422" s="324"/>
      <c r="E422" s="324"/>
      <c r="F422" s="324"/>
      <c r="G422" s="324"/>
      <c r="H422" s="324"/>
      <c r="I422" s="324"/>
      <c r="J422" s="324"/>
      <c r="K422" s="324"/>
      <c r="L422" s="324"/>
      <c r="M422" s="324"/>
      <c r="N422" s="324"/>
    </row>
    <row r="423" spans="3:14" x14ac:dyDescent="0.2">
      <c r="C423" s="324"/>
      <c r="D423" s="324"/>
      <c r="E423" s="324"/>
      <c r="F423" s="324"/>
      <c r="G423" s="324"/>
      <c r="H423" s="324"/>
      <c r="I423" s="324"/>
      <c r="J423" s="324"/>
      <c r="K423" s="324"/>
      <c r="L423" s="324"/>
      <c r="M423" s="324"/>
      <c r="N423" s="324"/>
    </row>
    <row r="424" spans="3:14" x14ac:dyDescent="0.2">
      <c r="C424" s="324"/>
      <c r="D424" s="324"/>
      <c r="E424" s="324"/>
      <c r="F424" s="324"/>
      <c r="G424" s="324"/>
      <c r="H424" s="324"/>
      <c r="I424" s="324"/>
      <c r="J424" s="324"/>
      <c r="K424" s="324"/>
      <c r="L424" s="324"/>
      <c r="M424" s="324"/>
      <c r="N424" s="324"/>
    </row>
    <row r="425" spans="3:14" x14ac:dyDescent="0.2">
      <c r="C425" s="324"/>
      <c r="D425" s="324"/>
      <c r="E425" s="324"/>
      <c r="F425" s="324"/>
      <c r="G425" s="324"/>
      <c r="H425" s="324"/>
      <c r="I425" s="324"/>
      <c r="J425" s="324"/>
      <c r="K425" s="324"/>
      <c r="L425" s="324"/>
      <c r="M425" s="324"/>
      <c r="N425" s="324"/>
    </row>
    <row r="426" spans="3:14" x14ac:dyDescent="0.2">
      <c r="C426" s="324"/>
      <c r="D426" s="324"/>
      <c r="E426" s="324"/>
      <c r="F426" s="324"/>
      <c r="G426" s="324"/>
      <c r="H426" s="324"/>
      <c r="I426" s="324"/>
      <c r="J426" s="324"/>
      <c r="K426" s="324"/>
      <c r="L426" s="324"/>
      <c r="M426" s="324"/>
      <c r="N426" s="324"/>
    </row>
    <row r="427" spans="3:14" x14ac:dyDescent="0.2">
      <c r="C427" s="324"/>
      <c r="D427" s="324"/>
      <c r="E427" s="324"/>
      <c r="F427" s="324"/>
      <c r="G427" s="324"/>
      <c r="H427" s="324"/>
      <c r="I427" s="324"/>
      <c r="J427" s="324"/>
      <c r="K427" s="324"/>
      <c r="L427" s="324"/>
      <c r="M427" s="324"/>
      <c r="N427" s="324"/>
    </row>
    <row r="428" spans="3:14" x14ac:dyDescent="0.2">
      <c r="C428" s="324"/>
      <c r="D428" s="324"/>
      <c r="E428" s="324"/>
      <c r="F428" s="324"/>
      <c r="G428" s="324"/>
      <c r="H428" s="324"/>
      <c r="I428" s="324"/>
      <c r="J428" s="324"/>
      <c r="K428" s="324"/>
      <c r="L428" s="324"/>
      <c r="M428" s="324"/>
      <c r="N428" s="324"/>
    </row>
    <row r="429" spans="3:14" x14ac:dyDescent="0.2">
      <c r="C429" s="324"/>
      <c r="D429" s="324"/>
      <c r="E429" s="324"/>
      <c r="F429" s="324"/>
      <c r="G429" s="324"/>
      <c r="H429" s="324"/>
      <c r="I429" s="324"/>
      <c r="J429" s="324"/>
      <c r="K429" s="324"/>
      <c r="L429" s="324"/>
      <c r="M429" s="324"/>
      <c r="N429" s="324"/>
    </row>
    <row r="430" spans="3:14" x14ac:dyDescent="0.2">
      <c r="C430" s="324"/>
      <c r="D430" s="324"/>
      <c r="E430" s="324"/>
      <c r="F430" s="324"/>
      <c r="G430" s="324"/>
      <c r="H430" s="324"/>
      <c r="I430" s="324"/>
      <c r="J430" s="324"/>
      <c r="K430" s="324"/>
      <c r="L430" s="324"/>
      <c r="M430" s="324"/>
      <c r="N430" s="324"/>
    </row>
    <row r="431" spans="3:14" x14ac:dyDescent="0.2">
      <c r="C431" s="324"/>
      <c r="D431" s="324"/>
      <c r="E431" s="324"/>
      <c r="F431" s="324"/>
      <c r="G431" s="324"/>
      <c r="H431" s="324"/>
      <c r="I431" s="324"/>
      <c r="J431" s="324"/>
      <c r="K431" s="324"/>
      <c r="L431" s="324"/>
      <c r="M431" s="324"/>
      <c r="N431" s="324"/>
    </row>
    <row r="432" spans="3:14" x14ac:dyDescent="0.2">
      <c r="C432" s="324"/>
      <c r="D432" s="324"/>
      <c r="E432" s="324"/>
      <c r="F432" s="324"/>
      <c r="G432" s="324"/>
      <c r="H432" s="324"/>
      <c r="I432" s="324"/>
      <c r="J432" s="324"/>
      <c r="K432" s="324"/>
      <c r="L432" s="324"/>
      <c r="M432" s="324"/>
      <c r="N432" s="324"/>
    </row>
    <row r="433" spans="3:14" x14ac:dyDescent="0.2">
      <c r="C433" s="324"/>
      <c r="D433" s="324"/>
      <c r="E433" s="324"/>
      <c r="F433" s="324"/>
      <c r="G433" s="324"/>
      <c r="H433" s="324"/>
      <c r="I433" s="324"/>
      <c r="J433" s="324"/>
      <c r="K433" s="324"/>
      <c r="L433" s="324"/>
      <c r="M433" s="324"/>
      <c r="N433" s="324"/>
    </row>
    <row r="434" spans="3:14" x14ac:dyDescent="0.2">
      <c r="C434" s="324"/>
      <c r="D434" s="324"/>
      <c r="E434" s="324"/>
      <c r="F434" s="324"/>
      <c r="G434" s="324"/>
      <c r="H434" s="324"/>
      <c r="I434" s="324"/>
      <c r="J434" s="324"/>
      <c r="K434" s="324"/>
      <c r="L434" s="324"/>
      <c r="M434" s="324"/>
      <c r="N434" s="324"/>
    </row>
    <row r="435" spans="3:14" x14ac:dyDescent="0.2">
      <c r="C435" s="324"/>
      <c r="D435" s="324"/>
      <c r="E435" s="324"/>
      <c r="F435" s="324"/>
      <c r="G435" s="324"/>
      <c r="H435" s="324"/>
      <c r="I435" s="324"/>
      <c r="J435" s="324"/>
      <c r="K435" s="324"/>
      <c r="L435" s="324"/>
      <c r="M435" s="324"/>
      <c r="N435" s="324"/>
    </row>
    <row r="436" spans="3:14" x14ac:dyDescent="0.2">
      <c r="C436" s="324"/>
      <c r="D436" s="324"/>
      <c r="E436" s="324"/>
      <c r="F436" s="324"/>
      <c r="G436" s="324"/>
      <c r="H436" s="324"/>
      <c r="I436" s="324"/>
      <c r="J436" s="324"/>
      <c r="K436" s="324"/>
      <c r="L436" s="324"/>
      <c r="M436" s="324"/>
      <c r="N436" s="324"/>
    </row>
    <row r="437" spans="3:14" x14ac:dyDescent="0.2">
      <c r="C437" s="324"/>
      <c r="D437" s="324"/>
      <c r="E437" s="324"/>
      <c r="F437" s="324"/>
      <c r="G437" s="324"/>
      <c r="H437" s="324"/>
      <c r="I437" s="324"/>
      <c r="J437" s="324"/>
      <c r="K437" s="324"/>
      <c r="L437" s="324"/>
      <c r="M437" s="324"/>
      <c r="N437" s="324"/>
    </row>
    <row r="438" spans="3:14" x14ac:dyDescent="0.2">
      <c r="C438" s="324"/>
      <c r="D438" s="324"/>
      <c r="E438" s="324"/>
      <c r="F438" s="324"/>
      <c r="G438" s="324"/>
      <c r="H438" s="324"/>
      <c r="I438" s="324"/>
      <c r="J438" s="324"/>
      <c r="K438" s="324"/>
      <c r="L438" s="324"/>
      <c r="M438" s="324"/>
      <c r="N438" s="324"/>
    </row>
    <row r="439" spans="3:14" x14ac:dyDescent="0.2">
      <c r="C439" s="324"/>
      <c r="D439" s="324"/>
      <c r="E439" s="324"/>
      <c r="F439" s="324"/>
      <c r="G439" s="324"/>
      <c r="H439" s="324"/>
      <c r="I439" s="324"/>
      <c r="J439" s="324"/>
      <c r="K439" s="324"/>
      <c r="L439" s="324"/>
      <c r="M439" s="324"/>
      <c r="N439" s="324"/>
    </row>
    <row r="440" spans="3:14" x14ac:dyDescent="0.2">
      <c r="C440" s="324"/>
      <c r="D440" s="324"/>
      <c r="E440" s="324"/>
      <c r="F440" s="324"/>
      <c r="G440" s="324"/>
      <c r="H440" s="324"/>
      <c r="I440" s="324"/>
      <c r="J440" s="324"/>
      <c r="K440" s="324"/>
      <c r="L440" s="324"/>
      <c r="M440" s="324"/>
      <c r="N440" s="324"/>
    </row>
    <row r="441" spans="3:14" x14ac:dyDescent="0.2">
      <c r="C441" s="324"/>
      <c r="D441" s="324"/>
      <c r="E441" s="324"/>
      <c r="F441" s="324"/>
      <c r="G441" s="324"/>
      <c r="H441" s="324"/>
      <c r="I441" s="324"/>
      <c r="J441" s="324"/>
      <c r="K441" s="324"/>
      <c r="L441" s="324"/>
      <c r="M441" s="324"/>
      <c r="N441" s="324"/>
    </row>
    <row r="442" spans="3:14" x14ac:dyDescent="0.2">
      <c r="C442" s="324"/>
      <c r="D442" s="324"/>
      <c r="E442" s="324"/>
      <c r="F442" s="324"/>
      <c r="G442" s="324"/>
      <c r="H442" s="324"/>
      <c r="I442" s="324"/>
      <c r="J442" s="324"/>
      <c r="K442" s="324"/>
      <c r="L442" s="324"/>
      <c r="M442" s="324"/>
      <c r="N442" s="324"/>
    </row>
    <row r="443" spans="3:14" x14ac:dyDescent="0.2">
      <c r="C443" s="324"/>
      <c r="D443" s="324"/>
      <c r="E443" s="324"/>
      <c r="F443" s="324"/>
      <c r="G443" s="324"/>
      <c r="H443" s="324"/>
      <c r="I443" s="324"/>
      <c r="J443" s="324"/>
      <c r="K443" s="324"/>
      <c r="L443" s="324"/>
      <c r="M443" s="324"/>
      <c r="N443" s="324"/>
    </row>
    <row r="444" spans="3:14" x14ac:dyDescent="0.2">
      <c r="C444" s="324"/>
      <c r="D444" s="324"/>
      <c r="E444" s="324"/>
      <c r="F444" s="324"/>
      <c r="G444" s="324"/>
      <c r="H444" s="324"/>
      <c r="I444" s="324"/>
      <c r="J444" s="324"/>
      <c r="K444" s="324"/>
      <c r="L444" s="324"/>
      <c r="M444" s="324"/>
      <c r="N444" s="324"/>
    </row>
    <row r="445" spans="3:14" x14ac:dyDescent="0.2">
      <c r="C445" s="324"/>
      <c r="D445" s="324"/>
      <c r="E445" s="324"/>
      <c r="F445" s="324"/>
      <c r="G445" s="324"/>
      <c r="H445" s="324"/>
      <c r="I445" s="324"/>
      <c r="J445" s="324"/>
      <c r="K445" s="324"/>
      <c r="L445" s="324"/>
      <c r="M445" s="324"/>
      <c r="N445" s="324"/>
    </row>
    <row r="446" spans="3:14" x14ac:dyDescent="0.2">
      <c r="C446" s="324"/>
      <c r="D446" s="324"/>
      <c r="E446" s="324"/>
      <c r="F446" s="324"/>
      <c r="G446" s="324"/>
      <c r="H446" s="324"/>
      <c r="I446" s="324"/>
      <c r="J446" s="324"/>
      <c r="K446" s="324"/>
      <c r="L446" s="324"/>
      <c r="M446" s="324"/>
      <c r="N446" s="324"/>
    </row>
    <row r="447" spans="3:14" x14ac:dyDescent="0.2">
      <c r="C447" s="324"/>
      <c r="D447" s="324"/>
      <c r="E447" s="324"/>
      <c r="F447" s="324"/>
      <c r="G447" s="324"/>
      <c r="H447" s="324"/>
      <c r="I447" s="324"/>
      <c r="J447" s="324"/>
      <c r="K447" s="324"/>
      <c r="L447" s="324"/>
      <c r="M447" s="324"/>
      <c r="N447" s="324"/>
    </row>
    <row r="448" spans="3:14" x14ac:dyDescent="0.2">
      <c r="C448" s="324"/>
      <c r="D448" s="324"/>
      <c r="E448" s="324"/>
      <c r="F448" s="324"/>
      <c r="G448" s="324"/>
      <c r="H448" s="324"/>
      <c r="I448" s="324"/>
      <c r="J448" s="324"/>
      <c r="K448" s="324"/>
      <c r="L448" s="324"/>
      <c r="M448" s="324"/>
      <c r="N448" s="324"/>
    </row>
    <row r="449" spans="3:14" x14ac:dyDescent="0.2">
      <c r="C449" s="324"/>
      <c r="D449" s="324"/>
      <c r="E449" s="324"/>
      <c r="F449" s="324"/>
      <c r="G449" s="324"/>
      <c r="H449" s="324"/>
      <c r="I449" s="324"/>
      <c r="J449" s="324"/>
      <c r="K449" s="324"/>
      <c r="L449" s="324"/>
      <c r="M449" s="324"/>
      <c r="N449" s="324"/>
    </row>
    <row r="450" spans="3:14" x14ac:dyDescent="0.2">
      <c r="C450" s="324"/>
      <c r="D450" s="324"/>
      <c r="E450" s="324"/>
      <c r="F450" s="324"/>
      <c r="G450" s="324"/>
      <c r="H450" s="324"/>
      <c r="I450" s="324"/>
      <c r="J450" s="324"/>
      <c r="K450" s="324"/>
      <c r="L450" s="324"/>
      <c r="M450" s="324"/>
      <c r="N450" s="324"/>
    </row>
    <row r="451" spans="3:14" x14ac:dyDescent="0.2">
      <c r="C451" s="324"/>
      <c r="D451" s="324"/>
      <c r="E451" s="324"/>
      <c r="F451" s="324"/>
      <c r="G451" s="324"/>
      <c r="H451" s="324"/>
      <c r="I451" s="324"/>
      <c r="J451" s="324"/>
      <c r="K451" s="324"/>
      <c r="L451" s="324"/>
      <c r="M451" s="324"/>
      <c r="N451" s="324"/>
    </row>
    <row r="452" spans="3:14" x14ac:dyDescent="0.2">
      <c r="C452" s="324"/>
      <c r="D452" s="324"/>
      <c r="E452" s="324"/>
      <c r="F452" s="324"/>
      <c r="G452" s="324"/>
      <c r="H452" s="324"/>
      <c r="I452" s="324"/>
      <c r="J452" s="324"/>
      <c r="K452" s="324"/>
      <c r="L452" s="324"/>
      <c r="M452" s="324"/>
      <c r="N452" s="324"/>
    </row>
    <row r="453" spans="3:14" x14ac:dyDescent="0.2">
      <c r="C453" s="324"/>
      <c r="D453" s="324"/>
      <c r="E453" s="324"/>
      <c r="F453" s="324"/>
      <c r="G453" s="324"/>
      <c r="H453" s="324"/>
      <c r="I453" s="324"/>
      <c r="J453" s="324"/>
      <c r="K453" s="324"/>
      <c r="L453" s="324"/>
      <c r="M453" s="324"/>
      <c r="N453" s="324"/>
    </row>
    <row r="454" spans="3:14" x14ac:dyDescent="0.2">
      <c r="C454" s="324"/>
      <c r="D454" s="324"/>
      <c r="E454" s="324"/>
      <c r="F454" s="324"/>
      <c r="G454" s="324"/>
      <c r="H454" s="324"/>
      <c r="I454" s="324"/>
      <c r="J454" s="324"/>
      <c r="K454" s="324"/>
      <c r="L454" s="324"/>
      <c r="M454" s="324"/>
      <c r="N454" s="324"/>
    </row>
    <row r="455" spans="3:14" x14ac:dyDescent="0.2">
      <c r="C455" s="324"/>
      <c r="D455" s="324"/>
      <c r="E455" s="324"/>
      <c r="F455" s="324"/>
      <c r="G455" s="324"/>
      <c r="H455" s="324"/>
      <c r="I455" s="324"/>
      <c r="J455" s="324"/>
      <c r="K455" s="324"/>
      <c r="L455" s="324"/>
      <c r="M455" s="324"/>
      <c r="N455" s="324"/>
    </row>
    <row r="456" spans="3:14" x14ac:dyDescent="0.2">
      <c r="C456" s="324"/>
      <c r="D456" s="324"/>
      <c r="E456" s="324"/>
      <c r="F456" s="324"/>
      <c r="G456" s="324"/>
      <c r="H456" s="324"/>
      <c r="I456" s="324"/>
      <c r="J456" s="324"/>
      <c r="K456" s="324"/>
      <c r="L456" s="324"/>
      <c r="M456" s="324"/>
      <c r="N456" s="324"/>
    </row>
    <row r="457" spans="3:14" x14ac:dyDescent="0.2">
      <c r="C457" s="324"/>
      <c r="D457" s="324"/>
      <c r="E457" s="324"/>
      <c r="F457" s="324"/>
      <c r="G457" s="324"/>
      <c r="H457" s="324"/>
      <c r="I457" s="324"/>
      <c r="J457" s="324"/>
      <c r="K457" s="324"/>
      <c r="L457" s="324"/>
      <c r="M457" s="324"/>
      <c r="N457" s="324"/>
    </row>
    <row r="458" spans="3:14" x14ac:dyDescent="0.2">
      <c r="C458" s="324"/>
      <c r="D458" s="324"/>
      <c r="E458" s="324"/>
      <c r="F458" s="324"/>
      <c r="G458" s="324"/>
      <c r="H458" s="324"/>
      <c r="I458" s="324"/>
      <c r="J458" s="324"/>
      <c r="K458" s="324"/>
      <c r="L458" s="324"/>
      <c r="M458" s="324"/>
      <c r="N458" s="324"/>
    </row>
    <row r="459" spans="3:14" x14ac:dyDescent="0.2">
      <c r="C459" s="324"/>
      <c r="D459" s="324"/>
      <c r="E459" s="324"/>
      <c r="F459" s="324"/>
      <c r="G459" s="324"/>
      <c r="H459" s="324"/>
      <c r="I459" s="324"/>
      <c r="J459" s="324"/>
      <c r="K459" s="324"/>
      <c r="L459" s="324"/>
      <c r="M459" s="324"/>
      <c r="N459" s="324"/>
    </row>
    <row r="460" spans="3:14" x14ac:dyDescent="0.2">
      <c r="C460" s="324"/>
      <c r="D460" s="324"/>
      <c r="E460" s="324"/>
      <c r="F460" s="324"/>
      <c r="G460" s="324"/>
      <c r="H460" s="324"/>
      <c r="I460" s="324"/>
      <c r="J460" s="324"/>
      <c r="K460" s="324"/>
      <c r="L460" s="324"/>
      <c r="M460" s="324"/>
      <c r="N460" s="324"/>
    </row>
    <row r="461" spans="3:14" x14ac:dyDescent="0.2">
      <c r="C461" s="324"/>
      <c r="D461" s="324"/>
      <c r="E461" s="324"/>
      <c r="F461" s="324"/>
      <c r="G461" s="324"/>
      <c r="H461" s="324"/>
      <c r="I461" s="324"/>
      <c r="J461" s="324"/>
      <c r="K461" s="324"/>
      <c r="L461" s="324"/>
      <c r="M461" s="324"/>
      <c r="N461" s="324"/>
    </row>
    <row r="462" spans="3:14" x14ac:dyDescent="0.2">
      <c r="C462" s="324"/>
      <c r="D462" s="324"/>
      <c r="E462" s="324"/>
      <c r="F462" s="324"/>
      <c r="G462" s="324"/>
      <c r="H462" s="324"/>
      <c r="I462" s="324"/>
      <c r="J462" s="324"/>
      <c r="K462" s="324"/>
      <c r="L462" s="324"/>
      <c r="M462" s="324"/>
      <c r="N462" s="324"/>
    </row>
    <row r="463" spans="3:14" x14ac:dyDescent="0.2">
      <c r="C463" s="324"/>
      <c r="D463" s="324"/>
      <c r="E463" s="324"/>
      <c r="F463" s="324"/>
      <c r="G463" s="324"/>
      <c r="H463" s="324"/>
      <c r="I463" s="324"/>
      <c r="J463" s="324"/>
      <c r="K463" s="324"/>
      <c r="L463" s="324"/>
      <c r="M463" s="324"/>
      <c r="N463" s="324"/>
    </row>
    <row r="464" spans="3:14" x14ac:dyDescent="0.2">
      <c r="C464" s="324"/>
      <c r="D464" s="324"/>
      <c r="E464" s="324"/>
      <c r="F464" s="324"/>
      <c r="G464" s="324"/>
      <c r="H464" s="324"/>
      <c r="I464" s="324"/>
      <c r="J464" s="324"/>
      <c r="K464" s="324"/>
      <c r="L464" s="324"/>
      <c r="M464" s="324"/>
      <c r="N464" s="324"/>
    </row>
    <row r="465" spans="3:14" x14ac:dyDescent="0.2">
      <c r="C465" s="324"/>
      <c r="D465" s="324"/>
      <c r="E465" s="324"/>
      <c r="F465" s="324"/>
      <c r="G465" s="324"/>
      <c r="H465" s="324"/>
      <c r="I465" s="324"/>
      <c r="J465" s="324"/>
      <c r="K465" s="324"/>
      <c r="L465" s="324"/>
      <c r="M465" s="324"/>
      <c r="N465" s="324"/>
    </row>
    <row r="466" spans="3:14" x14ac:dyDescent="0.2">
      <c r="C466" s="324"/>
      <c r="D466" s="324"/>
      <c r="E466" s="324"/>
      <c r="F466" s="324"/>
      <c r="G466" s="324"/>
      <c r="H466" s="324"/>
      <c r="I466" s="324"/>
      <c r="J466" s="324"/>
      <c r="K466" s="324"/>
      <c r="L466" s="324"/>
      <c r="M466" s="324"/>
      <c r="N466" s="324"/>
    </row>
    <row r="467" spans="3:14" x14ac:dyDescent="0.2">
      <c r="C467" s="324"/>
      <c r="D467" s="324"/>
      <c r="E467" s="324"/>
      <c r="F467" s="324"/>
      <c r="G467" s="324"/>
      <c r="H467" s="324"/>
      <c r="I467" s="324"/>
      <c r="J467" s="324"/>
      <c r="K467" s="324"/>
      <c r="L467" s="324"/>
      <c r="M467" s="324"/>
      <c r="N467" s="324"/>
    </row>
    <row r="468" spans="3:14" x14ac:dyDescent="0.2">
      <c r="C468" s="324"/>
      <c r="D468" s="324"/>
      <c r="E468" s="324"/>
      <c r="F468" s="324"/>
      <c r="G468" s="324"/>
      <c r="H468" s="324"/>
      <c r="I468" s="324"/>
      <c r="J468" s="324"/>
      <c r="K468" s="324"/>
      <c r="L468" s="324"/>
      <c r="M468" s="324"/>
      <c r="N468" s="324"/>
    </row>
    <row r="469" spans="3:14" x14ac:dyDescent="0.2">
      <c r="C469" s="324"/>
      <c r="D469" s="324"/>
      <c r="E469" s="324"/>
      <c r="F469" s="324"/>
      <c r="G469" s="324"/>
      <c r="H469" s="324"/>
      <c r="I469" s="324"/>
      <c r="J469" s="324"/>
      <c r="K469" s="324"/>
      <c r="L469" s="324"/>
      <c r="M469" s="324"/>
      <c r="N469" s="324"/>
    </row>
    <row r="470" spans="3:14" x14ac:dyDescent="0.2">
      <c r="C470" s="324"/>
      <c r="D470" s="324"/>
      <c r="E470" s="324"/>
      <c r="F470" s="324"/>
      <c r="G470" s="324"/>
      <c r="H470" s="324"/>
      <c r="I470" s="324"/>
      <c r="J470" s="324"/>
      <c r="K470" s="324"/>
      <c r="L470" s="324"/>
      <c r="M470" s="324"/>
      <c r="N470" s="324"/>
    </row>
    <row r="471" spans="3:14" x14ac:dyDescent="0.2">
      <c r="C471" s="324"/>
      <c r="D471" s="324"/>
      <c r="E471" s="324"/>
      <c r="F471" s="324"/>
      <c r="G471" s="324"/>
      <c r="H471" s="324"/>
      <c r="I471" s="324"/>
      <c r="J471" s="324"/>
      <c r="K471" s="324"/>
      <c r="L471" s="324"/>
      <c r="M471" s="324"/>
      <c r="N471" s="324"/>
    </row>
    <row r="472" spans="3:14" x14ac:dyDescent="0.2">
      <c r="C472" s="324"/>
      <c r="D472" s="324"/>
      <c r="E472" s="324"/>
      <c r="F472" s="324"/>
      <c r="G472" s="324"/>
      <c r="H472" s="324"/>
      <c r="I472" s="324"/>
      <c r="J472" s="324"/>
      <c r="K472" s="324"/>
      <c r="L472" s="324"/>
      <c r="M472" s="324"/>
      <c r="N472" s="324"/>
    </row>
    <row r="473" spans="3:14" x14ac:dyDescent="0.2">
      <c r="C473" s="324"/>
      <c r="D473" s="324"/>
      <c r="E473" s="324"/>
      <c r="F473" s="324"/>
      <c r="G473" s="324"/>
      <c r="H473" s="324"/>
      <c r="I473" s="324"/>
      <c r="J473" s="324"/>
      <c r="K473" s="324"/>
      <c r="L473" s="324"/>
      <c r="M473" s="324"/>
      <c r="N473" s="324"/>
    </row>
    <row r="474" spans="3:14" x14ac:dyDescent="0.2">
      <c r="C474" s="324"/>
      <c r="D474" s="324"/>
      <c r="E474" s="324"/>
      <c r="F474" s="324"/>
      <c r="G474" s="324"/>
      <c r="H474" s="324"/>
      <c r="I474" s="324"/>
      <c r="J474" s="324"/>
      <c r="K474" s="324"/>
      <c r="L474" s="324"/>
      <c r="M474" s="324"/>
      <c r="N474" s="324"/>
    </row>
    <row r="475" spans="3:14" x14ac:dyDescent="0.2">
      <c r="C475" s="324"/>
      <c r="D475" s="324"/>
      <c r="E475" s="324"/>
      <c r="F475" s="324"/>
      <c r="G475" s="324"/>
      <c r="H475" s="324"/>
      <c r="I475" s="324"/>
      <c r="J475" s="324"/>
      <c r="K475" s="324"/>
      <c r="L475" s="324"/>
      <c r="M475" s="324"/>
      <c r="N475" s="324"/>
    </row>
    <row r="476" spans="3:14" x14ac:dyDescent="0.2">
      <c r="C476" s="324"/>
      <c r="D476" s="324"/>
      <c r="E476" s="324"/>
      <c r="F476" s="324"/>
      <c r="G476" s="324"/>
      <c r="H476" s="324"/>
      <c r="I476" s="324"/>
      <c r="J476" s="324"/>
      <c r="K476" s="324"/>
      <c r="L476" s="324"/>
      <c r="M476" s="324"/>
      <c r="N476" s="324"/>
    </row>
    <row r="477" spans="3:14" x14ac:dyDescent="0.2">
      <c r="C477" s="324"/>
      <c r="D477" s="324"/>
      <c r="E477" s="324"/>
      <c r="F477" s="324"/>
      <c r="G477" s="324"/>
      <c r="H477" s="324"/>
      <c r="I477" s="324"/>
      <c r="J477" s="324"/>
      <c r="K477" s="324"/>
      <c r="L477" s="324"/>
      <c r="M477" s="324"/>
      <c r="N477" s="324"/>
    </row>
    <row r="478" spans="3:14" x14ac:dyDescent="0.2">
      <c r="C478" s="324"/>
      <c r="D478" s="324"/>
      <c r="E478" s="324"/>
      <c r="F478" s="324"/>
      <c r="G478" s="324"/>
      <c r="H478" s="324"/>
      <c r="I478" s="324"/>
      <c r="J478" s="324"/>
      <c r="K478" s="324"/>
      <c r="L478" s="324"/>
      <c r="M478" s="324"/>
      <c r="N478" s="324"/>
    </row>
    <row r="479" spans="3:14" x14ac:dyDescent="0.2">
      <c r="C479" s="324"/>
      <c r="D479" s="324"/>
      <c r="E479" s="324"/>
      <c r="F479" s="324"/>
      <c r="G479" s="324"/>
      <c r="H479" s="324"/>
      <c r="I479" s="324"/>
      <c r="J479" s="324"/>
      <c r="K479" s="324"/>
      <c r="L479" s="324"/>
      <c r="M479" s="324"/>
      <c r="N479" s="324"/>
    </row>
    <row r="480" spans="3:14" x14ac:dyDescent="0.2">
      <c r="C480" s="324"/>
      <c r="D480" s="324"/>
      <c r="E480" s="324"/>
      <c r="F480" s="324"/>
      <c r="G480" s="324"/>
      <c r="H480" s="324"/>
      <c r="I480" s="324"/>
      <c r="J480" s="324"/>
      <c r="K480" s="324"/>
      <c r="L480" s="324"/>
      <c r="M480" s="324"/>
      <c r="N480" s="324"/>
    </row>
    <row r="481" spans="3:14" x14ac:dyDescent="0.2">
      <c r="C481" s="324"/>
      <c r="D481" s="324"/>
      <c r="E481" s="324"/>
      <c r="F481" s="324"/>
      <c r="G481" s="324"/>
      <c r="H481" s="324"/>
      <c r="I481" s="324"/>
      <c r="J481" s="324"/>
      <c r="K481" s="324"/>
      <c r="L481" s="324"/>
      <c r="M481" s="324"/>
      <c r="N481" s="324"/>
    </row>
    <row r="482" spans="3:14" x14ac:dyDescent="0.2">
      <c r="C482" s="324"/>
      <c r="D482" s="324"/>
      <c r="E482" s="324"/>
      <c r="F482" s="324"/>
      <c r="G482" s="324"/>
      <c r="H482" s="324"/>
      <c r="I482" s="324"/>
      <c r="J482" s="324"/>
      <c r="K482" s="324"/>
      <c r="L482" s="324"/>
      <c r="M482" s="324"/>
      <c r="N482" s="324"/>
    </row>
    <row r="483" spans="3:14" x14ac:dyDescent="0.2">
      <c r="C483" s="324"/>
      <c r="D483" s="324"/>
      <c r="E483" s="324"/>
      <c r="F483" s="324"/>
      <c r="G483" s="324"/>
      <c r="H483" s="324"/>
      <c r="I483" s="324"/>
      <c r="J483" s="324"/>
      <c r="K483" s="324"/>
      <c r="L483" s="324"/>
      <c r="M483" s="324"/>
      <c r="N483" s="324"/>
    </row>
    <row r="484" spans="3:14" x14ac:dyDescent="0.2">
      <c r="C484" s="324"/>
      <c r="D484" s="324"/>
      <c r="E484" s="324"/>
      <c r="F484" s="324"/>
      <c r="G484" s="324"/>
      <c r="H484" s="324"/>
      <c r="I484" s="324"/>
      <c r="J484" s="324"/>
      <c r="K484" s="324"/>
      <c r="L484" s="324"/>
      <c r="M484" s="324"/>
      <c r="N484" s="324"/>
    </row>
    <row r="485" spans="3:14" x14ac:dyDescent="0.2">
      <c r="C485" s="324"/>
      <c r="D485" s="324"/>
      <c r="E485" s="324"/>
      <c r="F485" s="324"/>
      <c r="G485" s="324"/>
      <c r="H485" s="324"/>
      <c r="I485" s="324"/>
      <c r="J485" s="324"/>
      <c r="K485" s="324"/>
      <c r="L485" s="324"/>
      <c r="M485" s="324"/>
      <c r="N485" s="324"/>
    </row>
    <row r="486" spans="3:14" x14ac:dyDescent="0.2">
      <c r="C486" s="324"/>
      <c r="D486" s="324"/>
      <c r="E486" s="324"/>
      <c r="F486" s="324"/>
      <c r="G486" s="324"/>
      <c r="H486" s="324"/>
      <c r="I486" s="324"/>
      <c r="J486" s="324"/>
      <c r="K486" s="324"/>
      <c r="L486" s="324"/>
      <c r="M486" s="324"/>
      <c r="N486" s="324"/>
    </row>
    <row r="487" spans="3:14" x14ac:dyDescent="0.2">
      <c r="C487" s="324"/>
      <c r="D487" s="324"/>
      <c r="E487" s="324"/>
      <c r="F487" s="324"/>
      <c r="G487" s="324"/>
      <c r="H487" s="324"/>
      <c r="I487" s="324"/>
      <c r="J487" s="324"/>
      <c r="K487" s="324"/>
      <c r="L487" s="324"/>
      <c r="M487" s="324"/>
      <c r="N487" s="324"/>
    </row>
    <row r="488" spans="3:14" x14ac:dyDescent="0.2">
      <c r="C488" s="324"/>
      <c r="D488" s="324"/>
      <c r="E488" s="324"/>
      <c r="F488" s="324"/>
      <c r="G488" s="324"/>
      <c r="H488" s="324"/>
      <c r="I488" s="324"/>
      <c r="J488" s="324"/>
      <c r="K488" s="324"/>
      <c r="L488" s="324"/>
      <c r="M488" s="324"/>
      <c r="N488" s="324"/>
    </row>
    <row r="489" spans="3:14" x14ac:dyDescent="0.2">
      <c r="C489" s="324"/>
      <c r="D489" s="324"/>
      <c r="E489" s="324"/>
      <c r="F489" s="324"/>
      <c r="G489" s="324"/>
      <c r="H489" s="324"/>
      <c r="I489" s="324"/>
      <c r="J489" s="324"/>
      <c r="K489" s="324"/>
      <c r="L489" s="324"/>
      <c r="M489" s="324"/>
      <c r="N489" s="324"/>
    </row>
    <row r="490" spans="3:14" x14ac:dyDescent="0.2">
      <c r="C490" s="324"/>
      <c r="D490" s="324"/>
      <c r="E490" s="324"/>
      <c r="F490" s="324"/>
      <c r="G490" s="324"/>
      <c r="H490" s="324"/>
      <c r="I490" s="324"/>
      <c r="J490" s="324"/>
      <c r="K490" s="324"/>
      <c r="L490" s="324"/>
      <c r="M490" s="324"/>
      <c r="N490" s="324"/>
    </row>
    <row r="491" spans="3:14" x14ac:dyDescent="0.2">
      <c r="C491" s="324"/>
      <c r="D491" s="324"/>
      <c r="E491" s="324"/>
      <c r="F491" s="324"/>
      <c r="G491" s="324"/>
      <c r="H491" s="324"/>
      <c r="I491" s="324"/>
      <c r="J491" s="324"/>
      <c r="K491" s="324"/>
      <c r="L491" s="324"/>
      <c r="M491" s="324"/>
      <c r="N491" s="324"/>
    </row>
    <row r="492" spans="3:14" x14ac:dyDescent="0.2">
      <c r="C492" s="324"/>
      <c r="D492" s="324"/>
      <c r="E492" s="324"/>
      <c r="F492" s="324"/>
      <c r="G492" s="324"/>
      <c r="H492" s="324"/>
      <c r="I492" s="324"/>
      <c r="J492" s="324"/>
      <c r="K492" s="324"/>
      <c r="L492" s="324"/>
      <c r="M492" s="324"/>
      <c r="N492" s="324"/>
    </row>
    <row r="493" spans="3:14" x14ac:dyDescent="0.2">
      <c r="C493" s="324"/>
      <c r="D493" s="324"/>
      <c r="E493" s="324"/>
      <c r="F493" s="324"/>
      <c r="G493" s="324"/>
      <c r="H493" s="324"/>
      <c r="I493" s="324"/>
      <c r="J493" s="324"/>
      <c r="K493" s="324"/>
      <c r="L493" s="324"/>
      <c r="M493" s="324"/>
      <c r="N493" s="324"/>
    </row>
    <row r="494" spans="3:14" x14ac:dyDescent="0.2">
      <c r="C494" s="324"/>
      <c r="D494" s="324"/>
      <c r="E494" s="324"/>
      <c r="F494" s="324"/>
      <c r="G494" s="324"/>
      <c r="H494" s="324"/>
      <c r="I494" s="324"/>
      <c r="J494" s="324"/>
      <c r="K494" s="324"/>
      <c r="L494" s="324"/>
      <c r="M494" s="324"/>
      <c r="N494" s="324"/>
    </row>
    <row r="495" spans="3:14" x14ac:dyDescent="0.2">
      <c r="C495" s="324"/>
      <c r="D495" s="324"/>
      <c r="E495" s="324"/>
      <c r="F495" s="324"/>
      <c r="G495" s="324"/>
      <c r="H495" s="324"/>
      <c r="I495" s="324"/>
      <c r="J495" s="324"/>
      <c r="K495" s="324"/>
      <c r="L495" s="324"/>
      <c r="M495" s="324"/>
      <c r="N495" s="324"/>
    </row>
    <row r="496" spans="3:14" x14ac:dyDescent="0.2">
      <c r="C496" s="324"/>
      <c r="D496" s="324"/>
      <c r="E496" s="324"/>
      <c r="F496" s="324"/>
      <c r="G496" s="324"/>
      <c r="H496" s="324"/>
      <c r="I496" s="324"/>
      <c r="J496" s="324"/>
      <c r="K496" s="324"/>
      <c r="L496" s="324"/>
      <c r="M496" s="324"/>
      <c r="N496" s="324"/>
    </row>
    <row r="497" spans="3:14" x14ac:dyDescent="0.2">
      <c r="C497" s="324"/>
      <c r="D497" s="324"/>
      <c r="E497" s="324"/>
      <c r="F497" s="324"/>
      <c r="G497" s="324"/>
      <c r="H497" s="324"/>
      <c r="I497" s="324"/>
      <c r="J497" s="324"/>
      <c r="K497" s="324"/>
      <c r="L497" s="324"/>
      <c r="M497" s="324"/>
      <c r="N497" s="324"/>
    </row>
    <row r="498" spans="3:14" x14ac:dyDescent="0.2">
      <c r="C498" s="324"/>
      <c r="D498" s="324"/>
      <c r="E498" s="324"/>
      <c r="F498" s="324"/>
      <c r="G498" s="324"/>
      <c r="H498" s="324"/>
      <c r="I498" s="324"/>
      <c r="J498" s="324"/>
      <c r="K498" s="324"/>
      <c r="L498" s="324"/>
      <c r="M498" s="324"/>
      <c r="N498" s="324"/>
    </row>
    <row r="499" spans="3:14" x14ac:dyDescent="0.2">
      <c r="C499" s="324"/>
      <c r="D499" s="324"/>
      <c r="E499" s="324"/>
      <c r="F499" s="324"/>
      <c r="G499" s="324"/>
      <c r="H499" s="324"/>
      <c r="I499" s="324"/>
      <c r="J499" s="324"/>
      <c r="K499" s="324"/>
      <c r="L499" s="324"/>
      <c r="M499" s="324"/>
      <c r="N499" s="324"/>
    </row>
    <row r="500" spans="3:14" x14ac:dyDescent="0.2">
      <c r="C500" s="324"/>
      <c r="D500" s="324"/>
      <c r="E500" s="324"/>
      <c r="F500" s="324"/>
      <c r="G500" s="324"/>
      <c r="H500" s="324"/>
      <c r="I500" s="324"/>
      <c r="J500" s="324"/>
      <c r="K500" s="324"/>
      <c r="L500" s="324"/>
      <c r="M500" s="324"/>
      <c r="N500" s="324"/>
    </row>
    <row r="501" spans="3:14" x14ac:dyDescent="0.2">
      <c r="C501" s="324"/>
      <c r="D501" s="324"/>
      <c r="E501" s="324"/>
      <c r="F501" s="324"/>
      <c r="G501" s="324"/>
      <c r="H501" s="324"/>
      <c r="I501" s="324"/>
      <c r="J501" s="324"/>
      <c r="K501" s="324"/>
      <c r="L501" s="324"/>
      <c r="M501" s="324"/>
      <c r="N501" s="324"/>
    </row>
    <row r="502" spans="3:14" x14ac:dyDescent="0.2">
      <c r="C502" s="324"/>
      <c r="D502" s="324"/>
      <c r="E502" s="324"/>
      <c r="F502" s="324"/>
      <c r="G502" s="324"/>
      <c r="H502" s="324"/>
      <c r="I502" s="324"/>
      <c r="J502" s="324"/>
      <c r="K502" s="324"/>
      <c r="L502" s="324"/>
      <c r="M502" s="324"/>
      <c r="N502" s="324"/>
    </row>
    <row r="503" spans="3:14" x14ac:dyDescent="0.2">
      <c r="C503" s="324"/>
      <c r="D503" s="324"/>
      <c r="E503" s="324"/>
      <c r="F503" s="324"/>
      <c r="G503" s="324"/>
      <c r="H503" s="324"/>
      <c r="I503" s="324"/>
      <c r="J503" s="324"/>
      <c r="K503" s="324"/>
      <c r="L503" s="324"/>
      <c r="M503" s="324"/>
      <c r="N503" s="324"/>
    </row>
    <row r="504" spans="3:14" x14ac:dyDescent="0.2">
      <c r="C504" s="324"/>
      <c r="D504" s="324"/>
      <c r="E504" s="324"/>
      <c r="F504" s="324"/>
      <c r="G504" s="324"/>
      <c r="H504" s="324"/>
      <c r="I504" s="324"/>
      <c r="J504" s="324"/>
      <c r="K504" s="324"/>
      <c r="L504" s="324"/>
      <c r="M504" s="324"/>
      <c r="N504" s="324"/>
    </row>
    <row r="505" spans="3:14" x14ac:dyDescent="0.2">
      <c r="C505" s="324"/>
      <c r="D505" s="324"/>
      <c r="E505" s="324"/>
      <c r="F505" s="324"/>
      <c r="G505" s="324"/>
      <c r="H505" s="324"/>
      <c r="I505" s="324"/>
      <c r="J505" s="324"/>
      <c r="K505" s="324"/>
      <c r="L505" s="324"/>
      <c r="M505" s="324"/>
      <c r="N505" s="324"/>
    </row>
    <row r="506" spans="3:14" x14ac:dyDescent="0.2">
      <c r="C506" s="324"/>
      <c r="D506" s="324"/>
      <c r="E506" s="324"/>
      <c r="F506" s="324"/>
      <c r="G506" s="324"/>
      <c r="H506" s="324"/>
      <c r="I506" s="324"/>
      <c r="J506" s="324"/>
      <c r="K506" s="324"/>
      <c r="L506" s="324"/>
      <c r="M506" s="324"/>
      <c r="N506" s="324"/>
    </row>
    <row r="507" spans="3:14" x14ac:dyDescent="0.2">
      <c r="C507" s="324"/>
      <c r="D507" s="324"/>
      <c r="E507" s="324"/>
      <c r="F507" s="324"/>
      <c r="G507" s="324"/>
      <c r="H507" s="324"/>
      <c r="I507" s="324"/>
      <c r="J507" s="324"/>
      <c r="K507" s="324"/>
      <c r="L507" s="324"/>
      <c r="M507" s="324"/>
      <c r="N507" s="324"/>
    </row>
    <row r="508" spans="3:14" x14ac:dyDescent="0.2">
      <c r="C508" s="324"/>
      <c r="D508" s="324"/>
      <c r="E508" s="324"/>
      <c r="F508" s="324"/>
      <c r="G508" s="324"/>
      <c r="H508" s="324"/>
      <c r="I508" s="324"/>
      <c r="J508" s="324"/>
      <c r="K508" s="324"/>
      <c r="L508" s="324"/>
      <c r="M508" s="324"/>
      <c r="N508" s="324"/>
    </row>
    <row r="509" spans="3:14" x14ac:dyDescent="0.2">
      <c r="C509" s="324"/>
      <c r="D509" s="324"/>
      <c r="E509" s="324"/>
      <c r="F509" s="324"/>
      <c r="G509" s="324"/>
      <c r="H509" s="324"/>
      <c r="I509" s="324"/>
      <c r="J509" s="324"/>
      <c r="K509" s="324"/>
      <c r="L509" s="324"/>
      <c r="M509" s="324"/>
      <c r="N509" s="324"/>
    </row>
    <row r="510" spans="3:14" x14ac:dyDescent="0.2">
      <c r="C510" s="324"/>
      <c r="D510" s="324"/>
      <c r="E510" s="324"/>
      <c r="F510" s="324"/>
      <c r="G510" s="324"/>
      <c r="H510" s="324"/>
      <c r="I510" s="324"/>
      <c r="J510" s="324"/>
      <c r="K510" s="324"/>
      <c r="L510" s="324"/>
      <c r="M510" s="324"/>
      <c r="N510" s="324"/>
    </row>
    <row r="511" spans="3:14" x14ac:dyDescent="0.2">
      <c r="C511" s="324"/>
      <c r="D511" s="324"/>
      <c r="E511" s="324"/>
      <c r="F511" s="324"/>
      <c r="G511" s="324"/>
      <c r="H511" s="324"/>
      <c r="I511" s="324"/>
      <c r="J511" s="324"/>
      <c r="K511" s="324"/>
      <c r="L511" s="324"/>
      <c r="M511" s="324"/>
      <c r="N511" s="324"/>
    </row>
    <row r="512" spans="3:14" x14ac:dyDescent="0.2">
      <c r="C512" s="324"/>
      <c r="D512" s="324"/>
      <c r="E512" s="324"/>
      <c r="F512" s="324"/>
      <c r="G512" s="324"/>
      <c r="H512" s="324"/>
      <c r="I512" s="324"/>
      <c r="J512" s="324"/>
      <c r="K512" s="324"/>
      <c r="L512" s="324"/>
      <c r="M512" s="324"/>
      <c r="N512" s="324"/>
    </row>
    <row r="513" spans="3:14" x14ac:dyDescent="0.2">
      <c r="C513" s="324"/>
      <c r="D513" s="324"/>
      <c r="E513" s="324"/>
      <c r="F513" s="324"/>
      <c r="G513" s="324"/>
      <c r="H513" s="324"/>
      <c r="I513" s="324"/>
      <c r="J513" s="324"/>
      <c r="K513" s="324"/>
      <c r="L513" s="324"/>
      <c r="M513" s="324"/>
      <c r="N513" s="324"/>
    </row>
    <row r="514" spans="3:14" x14ac:dyDescent="0.2">
      <c r="C514" s="324"/>
      <c r="D514" s="324"/>
      <c r="E514" s="324"/>
      <c r="F514" s="324"/>
      <c r="G514" s="324"/>
      <c r="H514" s="324"/>
      <c r="I514" s="324"/>
      <c r="J514" s="324"/>
      <c r="K514" s="324"/>
      <c r="L514" s="324"/>
      <c r="M514" s="324"/>
      <c r="N514" s="324"/>
    </row>
    <row r="515" spans="3:14" x14ac:dyDescent="0.2">
      <c r="C515" s="324"/>
      <c r="D515" s="324"/>
      <c r="E515" s="324"/>
      <c r="F515" s="324"/>
      <c r="G515" s="324"/>
      <c r="H515" s="324"/>
      <c r="I515" s="324"/>
      <c r="J515" s="324"/>
      <c r="K515" s="324"/>
      <c r="L515" s="324"/>
      <c r="M515" s="324"/>
      <c r="N515" s="324"/>
    </row>
    <row r="516" spans="3:14" x14ac:dyDescent="0.2">
      <c r="C516" s="324"/>
      <c r="D516" s="324"/>
      <c r="E516" s="324"/>
      <c r="F516" s="324"/>
      <c r="G516" s="324"/>
      <c r="H516" s="324"/>
      <c r="I516" s="324"/>
      <c r="J516" s="324"/>
      <c r="K516" s="324"/>
      <c r="L516" s="324"/>
      <c r="M516" s="324"/>
      <c r="N516" s="324"/>
    </row>
    <row r="517" spans="3:14" x14ac:dyDescent="0.2">
      <c r="C517" s="324"/>
      <c r="D517" s="324"/>
      <c r="E517" s="324"/>
      <c r="F517" s="324"/>
      <c r="G517" s="324"/>
      <c r="H517" s="324"/>
      <c r="I517" s="324"/>
      <c r="J517" s="324"/>
      <c r="K517" s="324"/>
      <c r="L517" s="324"/>
      <c r="M517" s="324"/>
      <c r="N517" s="324"/>
    </row>
    <row r="518" spans="3:14" x14ac:dyDescent="0.2">
      <c r="C518" s="324"/>
      <c r="D518" s="324"/>
      <c r="E518" s="324"/>
      <c r="F518" s="324"/>
      <c r="G518" s="324"/>
      <c r="H518" s="324"/>
      <c r="I518" s="324"/>
      <c r="J518" s="324"/>
      <c r="K518" s="324"/>
      <c r="L518" s="324"/>
      <c r="M518" s="324"/>
      <c r="N518" s="324"/>
    </row>
    <row r="519" spans="3:14" x14ac:dyDescent="0.2">
      <c r="C519" s="324"/>
      <c r="D519" s="324"/>
      <c r="E519" s="324"/>
      <c r="F519" s="324"/>
      <c r="G519" s="324"/>
      <c r="H519" s="324"/>
      <c r="I519" s="324"/>
      <c r="J519" s="324"/>
      <c r="K519" s="324"/>
      <c r="L519" s="324"/>
      <c r="M519" s="324"/>
      <c r="N519" s="324"/>
    </row>
    <row r="520" spans="3:14" x14ac:dyDescent="0.2">
      <c r="C520" s="324"/>
      <c r="D520" s="324"/>
      <c r="E520" s="324"/>
      <c r="F520" s="324"/>
      <c r="G520" s="324"/>
      <c r="H520" s="324"/>
      <c r="I520" s="324"/>
      <c r="J520" s="324"/>
      <c r="K520" s="324"/>
      <c r="L520" s="324"/>
      <c r="M520" s="324"/>
      <c r="N520" s="324"/>
    </row>
    <row r="521" spans="3:14" x14ac:dyDescent="0.2">
      <c r="C521" s="324"/>
      <c r="D521" s="324"/>
      <c r="E521" s="324"/>
      <c r="F521" s="324"/>
      <c r="G521" s="324"/>
      <c r="H521" s="324"/>
      <c r="I521" s="324"/>
      <c r="J521" s="324"/>
      <c r="K521" s="324"/>
      <c r="L521" s="324"/>
      <c r="M521" s="324"/>
      <c r="N521" s="324"/>
    </row>
    <row r="522" spans="3:14" x14ac:dyDescent="0.2">
      <c r="C522" s="324"/>
      <c r="D522" s="324"/>
      <c r="E522" s="324"/>
      <c r="F522" s="324"/>
      <c r="G522" s="324"/>
      <c r="H522" s="324"/>
      <c r="I522" s="324"/>
      <c r="J522" s="324"/>
      <c r="K522" s="324"/>
      <c r="L522" s="324"/>
      <c r="M522" s="324"/>
      <c r="N522" s="324"/>
    </row>
    <row r="523" spans="3:14" x14ac:dyDescent="0.2">
      <c r="C523" s="324"/>
      <c r="D523" s="324"/>
      <c r="E523" s="324"/>
      <c r="F523" s="324"/>
      <c r="G523" s="324"/>
      <c r="H523" s="324"/>
      <c r="I523" s="324"/>
      <c r="J523" s="324"/>
      <c r="K523" s="324"/>
      <c r="L523" s="324"/>
      <c r="M523" s="324"/>
      <c r="N523" s="324"/>
    </row>
    <row r="524" spans="3:14" x14ac:dyDescent="0.2">
      <c r="C524" s="324"/>
      <c r="D524" s="324"/>
      <c r="E524" s="324"/>
      <c r="F524" s="324"/>
      <c r="G524" s="324"/>
      <c r="H524" s="324"/>
      <c r="I524" s="324"/>
      <c r="J524" s="324"/>
      <c r="K524" s="324"/>
      <c r="L524" s="324"/>
      <c r="M524" s="324"/>
      <c r="N524" s="324"/>
    </row>
    <row r="525" spans="3:14" x14ac:dyDescent="0.2">
      <c r="C525" s="324"/>
      <c r="D525" s="324"/>
      <c r="E525" s="324"/>
      <c r="F525" s="324"/>
      <c r="G525" s="324"/>
      <c r="H525" s="324"/>
      <c r="I525" s="324"/>
      <c r="J525" s="324"/>
      <c r="K525" s="324"/>
      <c r="L525" s="324"/>
      <c r="M525" s="324"/>
      <c r="N525" s="324"/>
    </row>
    <row r="526" spans="3:14" x14ac:dyDescent="0.2">
      <c r="C526" s="324"/>
      <c r="D526" s="324"/>
      <c r="E526" s="324"/>
      <c r="F526" s="324"/>
      <c r="G526" s="324"/>
      <c r="H526" s="324"/>
      <c r="I526" s="324"/>
      <c r="J526" s="324"/>
      <c r="K526" s="324"/>
      <c r="L526" s="324"/>
      <c r="M526" s="324"/>
      <c r="N526" s="324"/>
    </row>
    <row r="527" spans="3:14" x14ac:dyDescent="0.2">
      <c r="C527" s="324"/>
      <c r="D527" s="324"/>
      <c r="E527" s="324"/>
      <c r="F527" s="324"/>
      <c r="G527" s="324"/>
      <c r="H527" s="324"/>
      <c r="I527" s="324"/>
      <c r="J527" s="324"/>
      <c r="K527" s="324"/>
      <c r="L527" s="324"/>
      <c r="M527" s="324"/>
      <c r="N527" s="324"/>
    </row>
    <row r="528" spans="3:14" x14ac:dyDescent="0.2">
      <c r="C528" s="324"/>
      <c r="D528" s="324"/>
      <c r="E528" s="324"/>
      <c r="F528" s="324"/>
      <c r="G528" s="324"/>
      <c r="H528" s="324"/>
      <c r="I528" s="324"/>
      <c r="J528" s="324"/>
      <c r="K528" s="324"/>
      <c r="L528" s="324"/>
      <c r="M528" s="324"/>
      <c r="N528" s="324"/>
    </row>
    <row r="529" spans="3:14" x14ac:dyDescent="0.2">
      <c r="C529" s="324"/>
      <c r="D529" s="324"/>
      <c r="E529" s="324"/>
      <c r="F529" s="324"/>
      <c r="G529" s="324"/>
      <c r="H529" s="324"/>
      <c r="I529" s="324"/>
      <c r="J529" s="324"/>
      <c r="K529" s="324"/>
      <c r="L529" s="324"/>
      <c r="M529" s="324"/>
      <c r="N529" s="324"/>
    </row>
    <row r="530" spans="3:14" x14ac:dyDescent="0.2">
      <c r="C530" s="324"/>
      <c r="D530" s="324"/>
      <c r="E530" s="324"/>
      <c r="F530" s="324"/>
      <c r="G530" s="324"/>
      <c r="H530" s="324"/>
      <c r="I530" s="324"/>
      <c r="J530" s="324"/>
      <c r="K530" s="324"/>
      <c r="L530" s="324"/>
      <c r="M530" s="324"/>
      <c r="N530" s="324"/>
    </row>
    <row r="531" spans="3:14" x14ac:dyDescent="0.2">
      <c r="C531" s="324"/>
      <c r="D531" s="324"/>
      <c r="E531" s="324"/>
      <c r="F531" s="324"/>
      <c r="G531" s="324"/>
      <c r="H531" s="324"/>
      <c r="I531" s="324"/>
      <c r="J531" s="324"/>
      <c r="K531" s="324"/>
      <c r="L531" s="324"/>
      <c r="M531" s="324"/>
      <c r="N531" s="324"/>
    </row>
    <row r="532" spans="3:14" x14ac:dyDescent="0.2">
      <c r="C532" s="324"/>
      <c r="D532" s="324"/>
      <c r="E532" s="324"/>
      <c r="F532" s="324"/>
      <c r="G532" s="324"/>
      <c r="H532" s="324"/>
      <c r="I532" s="324"/>
      <c r="J532" s="324"/>
      <c r="K532" s="324"/>
      <c r="L532" s="324"/>
      <c r="M532" s="324"/>
      <c r="N532" s="324"/>
    </row>
    <row r="533" spans="3:14" x14ac:dyDescent="0.2">
      <c r="C533" s="324"/>
      <c r="D533" s="324"/>
      <c r="E533" s="324"/>
      <c r="F533" s="324"/>
      <c r="G533" s="324"/>
      <c r="H533" s="324"/>
      <c r="I533" s="324"/>
      <c r="J533" s="324"/>
      <c r="K533" s="324"/>
      <c r="L533" s="324"/>
      <c r="M533" s="324"/>
      <c r="N533" s="324"/>
    </row>
    <row r="534" spans="3:14" x14ac:dyDescent="0.2">
      <c r="C534" s="324"/>
      <c r="D534" s="324"/>
      <c r="E534" s="324"/>
      <c r="F534" s="324"/>
      <c r="G534" s="324"/>
      <c r="H534" s="324"/>
      <c r="I534" s="324"/>
      <c r="J534" s="324"/>
      <c r="K534" s="324"/>
      <c r="L534" s="324"/>
      <c r="M534" s="324"/>
      <c r="N534" s="324"/>
    </row>
    <row r="535" spans="3:14" x14ac:dyDescent="0.2">
      <c r="C535" s="324"/>
      <c r="D535" s="324"/>
      <c r="E535" s="324"/>
      <c r="F535" s="324"/>
      <c r="G535" s="324"/>
      <c r="H535" s="324"/>
      <c r="I535" s="324"/>
      <c r="J535" s="324"/>
      <c r="K535" s="324"/>
      <c r="L535" s="324"/>
      <c r="M535" s="324"/>
      <c r="N535" s="324"/>
    </row>
    <row r="536" spans="3:14" x14ac:dyDescent="0.2">
      <c r="C536" s="324"/>
      <c r="D536" s="324"/>
      <c r="E536" s="324"/>
      <c r="F536" s="324"/>
      <c r="G536" s="324"/>
      <c r="H536" s="324"/>
      <c r="I536" s="324"/>
      <c r="J536" s="324"/>
      <c r="K536" s="324"/>
      <c r="L536" s="324"/>
      <c r="M536" s="324"/>
      <c r="N536" s="324"/>
    </row>
    <row r="537" spans="3:14" x14ac:dyDescent="0.2">
      <c r="C537" s="324"/>
      <c r="D537" s="324"/>
      <c r="E537" s="324"/>
      <c r="F537" s="324"/>
      <c r="G537" s="324"/>
      <c r="H537" s="324"/>
      <c r="I537" s="324"/>
      <c r="J537" s="324"/>
      <c r="K537" s="324"/>
      <c r="L537" s="324"/>
      <c r="M537" s="324"/>
      <c r="N537" s="324"/>
    </row>
    <row r="538" spans="3:14" x14ac:dyDescent="0.2">
      <c r="C538" s="324"/>
      <c r="D538" s="324"/>
      <c r="E538" s="324"/>
      <c r="F538" s="324"/>
      <c r="G538" s="324"/>
      <c r="H538" s="324"/>
      <c r="I538" s="324"/>
      <c r="J538" s="324"/>
      <c r="K538" s="324"/>
      <c r="L538" s="324"/>
      <c r="M538" s="324"/>
      <c r="N538" s="324"/>
    </row>
    <row r="539" spans="3:14" x14ac:dyDescent="0.2">
      <c r="C539" s="324"/>
      <c r="D539" s="324"/>
      <c r="E539" s="324"/>
      <c r="F539" s="324"/>
      <c r="G539" s="324"/>
      <c r="H539" s="324"/>
      <c r="I539" s="324"/>
      <c r="J539" s="324"/>
      <c r="K539" s="324"/>
      <c r="L539" s="324"/>
      <c r="M539" s="324"/>
      <c r="N539" s="324"/>
    </row>
    <row r="540" spans="3:14" x14ac:dyDescent="0.2">
      <c r="C540" s="324"/>
      <c r="D540" s="324"/>
      <c r="E540" s="324"/>
      <c r="F540" s="324"/>
      <c r="G540" s="324"/>
      <c r="H540" s="324"/>
      <c r="I540" s="324"/>
      <c r="J540" s="324"/>
      <c r="K540" s="324"/>
      <c r="L540" s="324"/>
      <c r="M540" s="324"/>
      <c r="N540" s="324"/>
    </row>
    <row r="541" spans="3:14" x14ac:dyDescent="0.2">
      <c r="C541" s="324"/>
      <c r="D541" s="324"/>
      <c r="E541" s="324"/>
      <c r="F541" s="324"/>
      <c r="G541" s="324"/>
      <c r="H541" s="324"/>
      <c r="I541" s="324"/>
      <c r="J541" s="324"/>
      <c r="K541" s="324"/>
      <c r="L541" s="324"/>
      <c r="M541" s="324"/>
      <c r="N541" s="324"/>
    </row>
    <row r="542" spans="3:14" x14ac:dyDescent="0.2">
      <c r="C542" s="324"/>
      <c r="D542" s="324"/>
      <c r="E542" s="324"/>
      <c r="F542" s="324"/>
      <c r="G542" s="324"/>
      <c r="H542" s="324"/>
      <c r="I542" s="324"/>
      <c r="J542" s="324"/>
      <c r="K542" s="324"/>
      <c r="L542" s="324"/>
      <c r="M542" s="324"/>
      <c r="N542" s="324"/>
    </row>
    <row r="543" spans="3:14" x14ac:dyDescent="0.2">
      <c r="C543" s="324"/>
      <c r="D543" s="324"/>
      <c r="E543" s="324"/>
      <c r="F543" s="324"/>
      <c r="G543" s="324"/>
      <c r="H543" s="324"/>
      <c r="I543" s="324"/>
      <c r="J543" s="324"/>
      <c r="K543" s="324"/>
      <c r="L543" s="324"/>
      <c r="M543" s="324"/>
      <c r="N543" s="324"/>
    </row>
    <row r="544" spans="3:14" x14ac:dyDescent="0.2">
      <c r="C544" s="324"/>
      <c r="D544" s="324"/>
      <c r="E544" s="324"/>
      <c r="F544" s="324"/>
      <c r="G544" s="324"/>
      <c r="H544" s="324"/>
      <c r="I544" s="324"/>
      <c r="J544" s="324"/>
      <c r="K544" s="324"/>
      <c r="L544" s="324"/>
      <c r="M544" s="324"/>
      <c r="N544" s="324"/>
    </row>
    <row r="545" spans="3:14" x14ac:dyDescent="0.2">
      <c r="C545" s="324"/>
      <c r="D545" s="324"/>
      <c r="E545" s="324"/>
      <c r="F545" s="324"/>
      <c r="G545" s="324"/>
      <c r="H545" s="324"/>
      <c r="I545" s="324"/>
      <c r="J545" s="324"/>
      <c r="K545" s="324"/>
      <c r="L545" s="324"/>
      <c r="M545" s="324"/>
      <c r="N545" s="324"/>
    </row>
    <row r="546" spans="3:14" x14ac:dyDescent="0.2">
      <c r="C546" s="324"/>
      <c r="D546" s="324"/>
      <c r="E546" s="324"/>
      <c r="F546" s="324"/>
      <c r="G546" s="324"/>
      <c r="H546" s="324"/>
      <c r="I546" s="324"/>
      <c r="J546" s="324"/>
      <c r="K546" s="324"/>
      <c r="L546" s="324"/>
      <c r="M546" s="324"/>
      <c r="N546" s="324"/>
    </row>
    <row r="547" spans="3:14" x14ac:dyDescent="0.2">
      <c r="C547" s="324"/>
      <c r="D547" s="324"/>
      <c r="E547" s="324"/>
      <c r="F547" s="324"/>
      <c r="G547" s="324"/>
      <c r="H547" s="324"/>
      <c r="I547" s="324"/>
      <c r="J547" s="324"/>
      <c r="K547" s="324"/>
      <c r="L547" s="324"/>
      <c r="M547" s="324"/>
      <c r="N547" s="324"/>
    </row>
    <row r="548" spans="3:14" x14ac:dyDescent="0.2">
      <c r="C548" s="324"/>
      <c r="D548" s="324"/>
      <c r="E548" s="324"/>
      <c r="F548" s="324"/>
      <c r="G548" s="324"/>
      <c r="H548" s="324"/>
      <c r="I548" s="324"/>
      <c r="J548" s="324"/>
      <c r="K548" s="324"/>
      <c r="L548" s="324"/>
      <c r="M548" s="324"/>
      <c r="N548" s="324"/>
    </row>
    <row r="549" spans="3:14" x14ac:dyDescent="0.2">
      <c r="C549" s="324"/>
      <c r="D549" s="324"/>
      <c r="E549" s="324"/>
      <c r="F549" s="324"/>
      <c r="G549" s="324"/>
      <c r="H549" s="324"/>
      <c r="I549" s="324"/>
      <c r="J549" s="324"/>
      <c r="K549" s="324"/>
      <c r="L549" s="324"/>
      <c r="M549" s="324"/>
      <c r="N549" s="324"/>
    </row>
    <row r="550" spans="3:14" x14ac:dyDescent="0.2">
      <c r="C550" s="324"/>
      <c r="D550" s="324"/>
      <c r="E550" s="324"/>
      <c r="F550" s="324"/>
      <c r="G550" s="324"/>
      <c r="H550" s="324"/>
      <c r="I550" s="324"/>
      <c r="J550" s="324"/>
      <c r="K550" s="324"/>
      <c r="L550" s="324"/>
      <c r="M550" s="324"/>
      <c r="N550" s="324"/>
    </row>
    <row r="551" spans="3:14" x14ac:dyDescent="0.2">
      <c r="C551" s="324"/>
      <c r="D551" s="324"/>
      <c r="E551" s="324"/>
      <c r="F551" s="324"/>
      <c r="G551" s="324"/>
      <c r="H551" s="324"/>
      <c r="I551" s="324"/>
      <c r="J551" s="324"/>
      <c r="K551" s="324"/>
      <c r="L551" s="324"/>
      <c r="M551" s="324"/>
      <c r="N551" s="324"/>
    </row>
    <row r="552" spans="3:14" x14ac:dyDescent="0.2">
      <c r="C552" s="324"/>
      <c r="D552" s="324"/>
      <c r="E552" s="324"/>
      <c r="F552" s="324"/>
      <c r="G552" s="324"/>
      <c r="H552" s="324"/>
      <c r="I552" s="324"/>
      <c r="J552" s="324"/>
      <c r="K552" s="324"/>
      <c r="L552" s="324"/>
      <c r="M552" s="324"/>
      <c r="N552" s="324"/>
    </row>
    <row r="553" spans="3:14" x14ac:dyDescent="0.2">
      <c r="C553" s="324"/>
      <c r="D553" s="324"/>
      <c r="E553" s="324"/>
      <c r="F553" s="324"/>
      <c r="G553" s="324"/>
      <c r="H553" s="324"/>
      <c r="I553" s="324"/>
      <c r="J553" s="324"/>
      <c r="K553" s="324"/>
      <c r="L553" s="324"/>
      <c r="M553" s="324"/>
      <c r="N553" s="324"/>
    </row>
    <row r="554" spans="3:14" x14ac:dyDescent="0.2">
      <c r="C554" s="324"/>
      <c r="D554" s="324"/>
      <c r="E554" s="324"/>
      <c r="F554" s="324"/>
      <c r="G554" s="324"/>
      <c r="H554" s="324"/>
      <c r="I554" s="324"/>
      <c r="J554" s="324"/>
      <c r="K554" s="324"/>
      <c r="L554" s="324"/>
      <c r="M554" s="324"/>
      <c r="N554" s="324"/>
    </row>
    <row r="555" spans="3:14" x14ac:dyDescent="0.2">
      <c r="C555" s="324"/>
      <c r="D555" s="324"/>
      <c r="E555" s="324"/>
      <c r="F555" s="324"/>
      <c r="G555" s="324"/>
      <c r="H555" s="324"/>
      <c r="I555" s="324"/>
      <c r="J555" s="324"/>
      <c r="K555" s="324"/>
      <c r="L555" s="324"/>
      <c r="M555" s="324"/>
      <c r="N555" s="324"/>
    </row>
    <row r="556" spans="3:14" x14ac:dyDescent="0.2">
      <c r="C556" s="324"/>
      <c r="D556" s="324"/>
      <c r="E556" s="324"/>
      <c r="F556" s="324"/>
      <c r="G556" s="324"/>
      <c r="H556" s="324"/>
      <c r="I556" s="324"/>
      <c r="J556" s="324"/>
      <c r="K556" s="324"/>
      <c r="L556" s="324"/>
      <c r="M556" s="324"/>
      <c r="N556" s="324"/>
    </row>
    <row r="557" spans="3:14" x14ac:dyDescent="0.2">
      <c r="C557" s="324"/>
      <c r="D557" s="324"/>
      <c r="E557" s="324"/>
      <c r="F557" s="324"/>
      <c r="G557" s="324"/>
      <c r="H557" s="324"/>
      <c r="I557" s="324"/>
      <c r="J557" s="324"/>
      <c r="K557" s="324"/>
      <c r="L557" s="324"/>
      <c r="M557" s="324"/>
      <c r="N557" s="324"/>
    </row>
    <row r="558" spans="3:14" x14ac:dyDescent="0.2">
      <c r="C558" s="324"/>
      <c r="D558" s="324"/>
      <c r="E558" s="324"/>
      <c r="F558" s="324"/>
      <c r="G558" s="324"/>
      <c r="H558" s="324"/>
      <c r="I558" s="324"/>
      <c r="J558" s="324"/>
      <c r="K558" s="324"/>
      <c r="L558" s="324"/>
      <c r="M558" s="324"/>
      <c r="N558" s="324"/>
    </row>
    <row r="559" spans="3:14" x14ac:dyDescent="0.2">
      <c r="C559" s="324"/>
      <c r="D559" s="324"/>
      <c r="E559" s="324"/>
      <c r="F559" s="324"/>
      <c r="G559" s="324"/>
      <c r="H559" s="324"/>
      <c r="I559" s="324"/>
      <c r="J559" s="324"/>
      <c r="K559" s="324"/>
      <c r="L559" s="324"/>
      <c r="M559" s="324"/>
      <c r="N559" s="324"/>
    </row>
    <row r="560" spans="3:14" x14ac:dyDescent="0.2">
      <c r="C560" s="324"/>
      <c r="D560" s="324"/>
      <c r="E560" s="324"/>
      <c r="F560" s="324"/>
      <c r="G560" s="324"/>
      <c r="H560" s="324"/>
      <c r="I560" s="324"/>
      <c r="J560" s="324"/>
      <c r="K560" s="324"/>
      <c r="L560" s="324"/>
      <c r="M560" s="324"/>
      <c r="N560" s="324"/>
    </row>
    <row r="561" spans="3:14" x14ac:dyDescent="0.2">
      <c r="C561" s="324"/>
      <c r="D561" s="324"/>
      <c r="E561" s="324"/>
      <c r="F561" s="324"/>
      <c r="G561" s="324"/>
      <c r="H561" s="324"/>
      <c r="I561" s="324"/>
      <c r="J561" s="324"/>
      <c r="K561" s="324"/>
      <c r="L561" s="324"/>
      <c r="M561" s="324"/>
      <c r="N561" s="324"/>
    </row>
    <row r="562" spans="3:14" x14ac:dyDescent="0.2">
      <c r="C562" s="324"/>
      <c r="D562" s="324"/>
      <c r="E562" s="324"/>
      <c r="F562" s="324"/>
      <c r="G562" s="324"/>
      <c r="H562" s="324"/>
      <c r="I562" s="324"/>
      <c r="J562" s="324"/>
      <c r="K562" s="324"/>
      <c r="L562" s="324"/>
      <c r="M562" s="324"/>
      <c r="N562" s="324"/>
    </row>
    <row r="563" spans="3:14" x14ac:dyDescent="0.2">
      <c r="C563" s="324"/>
      <c r="D563" s="324"/>
      <c r="E563" s="324"/>
      <c r="F563" s="324"/>
      <c r="G563" s="324"/>
      <c r="H563" s="324"/>
      <c r="I563" s="324"/>
      <c r="J563" s="324"/>
      <c r="K563" s="324"/>
      <c r="L563" s="324"/>
      <c r="M563" s="324"/>
      <c r="N563" s="324"/>
    </row>
    <row r="564" spans="3:14" x14ac:dyDescent="0.2">
      <c r="C564" s="324"/>
      <c r="D564" s="324"/>
      <c r="E564" s="324"/>
      <c r="F564" s="324"/>
      <c r="G564" s="324"/>
      <c r="H564" s="324"/>
      <c r="I564" s="324"/>
      <c r="J564" s="324"/>
      <c r="K564" s="324"/>
      <c r="L564" s="324"/>
      <c r="M564" s="324"/>
      <c r="N564" s="324"/>
    </row>
    <row r="565" spans="3:14" x14ac:dyDescent="0.2">
      <c r="C565" s="324"/>
      <c r="D565" s="324"/>
      <c r="E565" s="324"/>
      <c r="F565" s="324"/>
      <c r="G565" s="324"/>
      <c r="H565" s="324"/>
      <c r="I565" s="324"/>
      <c r="J565" s="324"/>
      <c r="K565" s="324"/>
      <c r="L565" s="324"/>
      <c r="M565" s="324"/>
      <c r="N565" s="324"/>
    </row>
    <row r="566" spans="3:14" x14ac:dyDescent="0.2">
      <c r="C566" s="324"/>
      <c r="D566" s="324"/>
      <c r="E566" s="324"/>
      <c r="F566" s="324"/>
      <c r="G566" s="324"/>
      <c r="H566" s="324"/>
      <c r="I566" s="324"/>
      <c r="J566" s="324"/>
      <c r="K566" s="324"/>
      <c r="L566" s="324"/>
      <c r="M566" s="324"/>
      <c r="N566" s="324"/>
    </row>
    <row r="567" spans="3:14" x14ac:dyDescent="0.2">
      <c r="C567" s="324"/>
      <c r="D567" s="324"/>
      <c r="E567" s="324"/>
      <c r="F567" s="324"/>
      <c r="G567" s="324"/>
      <c r="H567" s="324"/>
      <c r="I567" s="324"/>
      <c r="J567" s="324"/>
      <c r="K567" s="324"/>
      <c r="L567" s="324"/>
      <c r="M567" s="324"/>
      <c r="N567" s="324"/>
    </row>
    <row r="568" spans="3:14" x14ac:dyDescent="0.2">
      <c r="C568" s="324"/>
      <c r="D568" s="324"/>
      <c r="E568" s="324"/>
      <c r="F568" s="324"/>
      <c r="G568" s="324"/>
      <c r="H568" s="324"/>
      <c r="I568" s="324"/>
      <c r="J568" s="324"/>
      <c r="K568" s="324"/>
      <c r="L568" s="324"/>
      <c r="M568" s="324"/>
      <c r="N568" s="324"/>
    </row>
    <row r="569" spans="3:14" x14ac:dyDescent="0.2">
      <c r="C569" s="324"/>
      <c r="D569" s="324"/>
      <c r="E569" s="324"/>
      <c r="F569" s="324"/>
      <c r="G569" s="324"/>
      <c r="H569" s="324"/>
      <c r="I569" s="324"/>
      <c r="J569" s="324"/>
      <c r="K569" s="324"/>
      <c r="L569" s="324"/>
      <c r="M569" s="324"/>
      <c r="N569" s="324"/>
    </row>
    <row r="570" spans="3:14" x14ac:dyDescent="0.2">
      <c r="C570" s="324"/>
      <c r="D570" s="324"/>
      <c r="E570" s="324"/>
      <c r="F570" s="324"/>
      <c r="G570" s="324"/>
      <c r="H570" s="324"/>
      <c r="I570" s="324"/>
      <c r="J570" s="324"/>
      <c r="K570" s="324"/>
      <c r="L570" s="324"/>
      <c r="M570" s="324"/>
      <c r="N570" s="324"/>
    </row>
    <row r="571" spans="3:14" x14ac:dyDescent="0.2">
      <c r="C571" s="324"/>
      <c r="D571" s="324"/>
      <c r="E571" s="324"/>
      <c r="F571" s="324"/>
      <c r="G571" s="324"/>
      <c r="H571" s="324"/>
      <c r="I571" s="324"/>
      <c r="J571" s="324"/>
      <c r="K571" s="324"/>
      <c r="L571" s="324"/>
      <c r="M571" s="324"/>
      <c r="N571" s="324"/>
    </row>
    <row r="572" spans="3:14" x14ac:dyDescent="0.2">
      <c r="C572" s="324"/>
      <c r="D572" s="324"/>
      <c r="E572" s="324"/>
      <c r="F572" s="324"/>
      <c r="G572" s="324"/>
      <c r="H572" s="324"/>
      <c r="I572" s="324"/>
      <c r="J572" s="324"/>
      <c r="K572" s="324"/>
      <c r="L572" s="324"/>
      <c r="M572" s="324"/>
      <c r="N572" s="324"/>
    </row>
    <row r="573" spans="3:14" x14ac:dyDescent="0.2">
      <c r="C573" s="324"/>
      <c r="D573" s="324"/>
      <c r="E573" s="324"/>
      <c r="F573" s="324"/>
      <c r="G573" s="324"/>
      <c r="H573" s="324"/>
      <c r="I573" s="324"/>
      <c r="J573" s="324"/>
      <c r="K573" s="324"/>
      <c r="L573" s="324"/>
      <c r="M573" s="324"/>
      <c r="N573" s="324"/>
    </row>
    <row r="574" spans="3:14" x14ac:dyDescent="0.2">
      <c r="C574" s="324"/>
      <c r="D574" s="324"/>
      <c r="E574" s="324"/>
      <c r="F574" s="324"/>
      <c r="G574" s="324"/>
      <c r="H574" s="324"/>
      <c r="I574" s="324"/>
      <c r="J574" s="324"/>
      <c r="K574" s="324"/>
      <c r="L574" s="324"/>
      <c r="M574" s="324"/>
      <c r="N574" s="324"/>
    </row>
    <row r="575" spans="3:14" x14ac:dyDescent="0.2">
      <c r="C575" s="324"/>
      <c r="D575" s="324"/>
      <c r="E575" s="324"/>
      <c r="F575" s="324"/>
      <c r="G575" s="324"/>
      <c r="H575" s="324"/>
      <c r="I575" s="324"/>
      <c r="J575" s="324"/>
      <c r="K575" s="324"/>
      <c r="L575" s="324"/>
      <c r="M575" s="324"/>
      <c r="N575" s="324"/>
    </row>
    <row r="576" spans="3:14" x14ac:dyDescent="0.2">
      <c r="C576" s="324"/>
      <c r="D576" s="324"/>
      <c r="E576" s="324"/>
      <c r="F576" s="324"/>
      <c r="G576" s="324"/>
      <c r="H576" s="324"/>
      <c r="I576" s="324"/>
      <c r="J576" s="324"/>
      <c r="K576" s="324"/>
      <c r="L576" s="324"/>
      <c r="M576" s="324"/>
      <c r="N576" s="324"/>
    </row>
    <row r="577" spans="3:14" x14ac:dyDescent="0.2">
      <c r="C577" s="324"/>
      <c r="D577" s="324"/>
      <c r="E577" s="324"/>
      <c r="F577" s="324"/>
      <c r="G577" s="324"/>
      <c r="H577" s="324"/>
      <c r="I577" s="324"/>
      <c r="J577" s="324"/>
      <c r="K577" s="324"/>
      <c r="L577" s="324"/>
      <c r="M577" s="324"/>
      <c r="N577" s="324"/>
    </row>
    <row r="578" spans="3:14" x14ac:dyDescent="0.2">
      <c r="C578" s="324"/>
      <c r="D578" s="324"/>
      <c r="E578" s="324"/>
      <c r="F578" s="324"/>
      <c r="G578" s="324"/>
      <c r="H578" s="324"/>
      <c r="I578" s="324"/>
      <c r="J578" s="324"/>
      <c r="K578" s="324"/>
      <c r="L578" s="324"/>
      <c r="M578" s="324"/>
      <c r="N578" s="324"/>
    </row>
    <row r="579" spans="3:14" x14ac:dyDescent="0.2">
      <c r="C579" s="324"/>
      <c r="D579" s="324"/>
      <c r="E579" s="324"/>
      <c r="F579" s="324"/>
      <c r="G579" s="324"/>
      <c r="H579" s="324"/>
      <c r="I579" s="324"/>
      <c r="J579" s="324"/>
      <c r="K579" s="324"/>
      <c r="L579" s="324"/>
      <c r="M579" s="324"/>
      <c r="N579" s="324"/>
    </row>
    <row r="580" spans="3:14" x14ac:dyDescent="0.2">
      <c r="C580" s="324"/>
      <c r="D580" s="324"/>
      <c r="E580" s="324"/>
      <c r="F580" s="324"/>
      <c r="G580" s="324"/>
      <c r="H580" s="324"/>
      <c r="I580" s="324"/>
      <c r="J580" s="324"/>
      <c r="K580" s="324"/>
      <c r="L580" s="324"/>
      <c r="M580" s="324"/>
      <c r="N580" s="324"/>
    </row>
    <row r="581" spans="3:14" x14ac:dyDescent="0.2">
      <c r="C581" s="324"/>
      <c r="D581" s="324"/>
      <c r="E581" s="324"/>
      <c r="F581" s="324"/>
      <c r="G581" s="324"/>
      <c r="H581" s="324"/>
      <c r="I581" s="324"/>
      <c r="J581" s="324"/>
      <c r="K581" s="324"/>
      <c r="L581" s="324"/>
      <c r="M581" s="324"/>
      <c r="N581" s="324"/>
    </row>
    <row r="582" spans="3:14" x14ac:dyDescent="0.2">
      <c r="C582" s="324"/>
      <c r="D582" s="324"/>
      <c r="E582" s="324"/>
      <c r="F582" s="324"/>
      <c r="G582" s="324"/>
      <c r="H582" s="324"/>
      <c r="I582" s="324"/>
      <c r="J582" s="324"/>
      <c r="K582" s="324"/>
      <c r="L582" s="324"/>
      <c r="M582" s="324"/>
      <c r="N582" s="324"/>
    </row>
    <row r="583" spans="3:14" x14ac:dyDescent="0.2">
      <c r="C583" s="324"/>
      <c r="D583" s="324"/>
      <c r="E583" s="324"/>
      <c r="F583" s="324"/>
      <c r="G583" s="324"/>
      <c r="H583" s="324"/>
      <c r="I583" s="324"/>
      <c r="J583" s="324"/>
      <c r="K583" s="324"/>
      <c r="L583" s="324"/>
      <c r="M583" s="324"/>
      <c r="N583" s="324"/>
    </row>
    <row r="584" spans="3:14" x14ac:dyDescent="0.2">
      <c r="C584" s="324"/>
      <c r="D584" s="324"/>
      <c r="E584" s="324"/>
      <c r="F584" s="324"/>
      <c r="G584" s="324"/>
      <c r="H584" s="324"/>
      <c r="I584" s="324"/>
      <c r="J584" s="324"/>
      <c r="K584" s="324"/>
      <c r="L584" s="324"/>
      <c r="M584" s="324"/>
      <c r="N584" s="324"/>
    </row>
    <row r="585" spans="3:14" x14ac:dyDescent="0.2">
      <c r="C585" s="324"/>
      <c r="D585" s="324"/>
      <c r="E585" s="324"/>
      <c r="F585" s="324"/>
      <c r="G585" s="324"/>
      <c r="H585" s="324"/>
      <c r="I585" s="324"/>
      <c r="J585" s="324"/>
      <c r="K585" s="324"/>
      <c r="L585" s="324"/>
      <c r="M585" s="324"/>
      <c r="N585" s="324"/>
    </row>
    <row r="586" spans="3:14" x14ac:dyDescent="0.2">
      <c r="C586" s="324"/>
      <c r="D586" s="324"/>
      <c r="E586" s="324"/>
      <c r="F586" s="324"/>
      <c r="G586" s="324"/>
      <c r="H586" s="324"/>
      <c r="I586" s="324"/>
      <c r="J586" s="324"/>
      <c r="K586" s="324"/>
      <c r="L586" s="324"/>
      <c r="M586" s="324"/>
      <c r="N586" s="324"/>
    </row>
    <row r="587" spans="3:14" x14ac:dyDescent="0.2">
      <c r="C587" s="324"/>
      <c r="D587" s="324"/>
      <c r="E587" s="324"/>
      <c r="F587" s="324"/>
      <c r="G587" s="324"/>
      <c r="H587" s="324"/>
      <c r="I587" s="324"/>
      <c r="J587" s="324"/>
      <c r="K587" s="324"/>
      <c r="L587" s="324"/>
      <c r="M587" s="324"/>
      <c r="N587" s="324"/>
    </row>
    <row r="588" spans="3:14" x14ac:dyDescent="0.2">
      <c r="C588" s="324"/>
      <c r="D588" s="324"/>
      <c r="E588" s="324"/>
      <c r="F588" s="324"/>
      <c r="G588" s="324"/>
      <c r="H588" s="324"/>
      <c r="I588" s="324"/>
      <c r="J588" s="324"/>
      <c r="K588" s="324"/>
      <c r="L588" s="324"/>
      <c r="M588" s="324"/>
      <c r="N588" s="324"/>
    </row>
    <row r="589" spans="3:14" x14ac:dyDescent="0.2">
      <c r="C589" s="324"/>
      <c r="D589" s="324"/>
      <c r="E589" s="324"/>
      <c r="F589" s="324"/>
      <c r="G589" s="324"/>
      <c r="H589" s="324"/>
      <c r="I589" s="324"/>
      <c r="J589" s="324"/>
      <c r="K589" s="324"/>
      <c r="L589" s="324"/>
      <c r="M589" s="324"/>
      <c r="N589" s="324"/>
    </row>
    <row r="590" spans="3:14" x14ac:dyDescent="0.2">
      <c r="C590" s="324"/>
      <c r="D590" s="324"/>
      <c r="E590" s="324"/>
      <c r="F590" s="324"/>
      <c r="G590" s="324"/>
      <c r="H590" s="324"/>
      <c r="I590" s="324"/>
      <c r="J590" s="324"/>
      <c r="K590" s="324"/>
      <c r="L590" s="324"/>
      <c r="M590" s="324"/>
      <c r="N590" s="324"/>
    </row>
    <row r="591" spans="3:14" x14ac:dyDescent="0.2">
      <c r="C591" s="324"/>
      <c r="D591" s="324"/>
      <c r="E591" s="324"/>
      <c r="F591" s="324"/>
      <c r="G591" s="324"/>
      <c r="H591" s="324"/>
      <c r="I591" s="324"/>
      <c r="J591" s="324"/>
      <c r="K591" s="324"/>
      <c r="L591" s="324"/>
      <c r="M591" s="324"/>
      <c r="N591" s="324"/>
    </row>
    <row r="592" spans="3:14" x14ac:dyDescent="0.2">
      <c r="C592" s="324"/>
      <c r="D592" s="324"/>
      <c r="E592" s="324"/>
      <c r="F592" s="324"/>
      <c r="G592" s="324"/>
      <c r="H592" s="324"/>
      <c r="I592" s="324"/>
      <c r="J592" s="324"/>
      <c r="K592" s="324"/>
      <c r="L592" s="324"/>
      <c r="M592" s="324"/>
      <c r="N592" s="324"/>
    </row>
    <row r="593" spans="3:14" x14ac:dyDescent="0.2">
      <c r="C593" s="324"/>
      <c r="D593" s="324"/>
      <c r="E593" s="324"/>
      <c r="F593" s="324"/>
      <c r="G593" s="324"/>
      <c r="H593" s="324"/>
      <c r="I593" s="324"/>
      <c r="J593" s="324"/>
      <c r="K593" s="324"/>
      <c r="L593" s="324"/>
      <c r="M593" s="324"/>
      <c r="N593" s="324"/>
    </row>
    <row r="594" spans="3:14" x14ac:dyDescent="0.2">
      <c r="C594" s="324"/>
      <c r="D594" s="324"/>
      <c r="E594" s="324"/>
      <c r="F594" s="324"/>
      <c r="G594" s="324"/>
      <c r="H594" s="324"/>
      <c r="I594" s="324"/>
      <c r="J594" s="324"/>
      <c r="K594" s="324"/>
      <c r="L594" s="324"/>
      <c r="M594" s="324"/>
      <c r="N594" s="324"/>
    </row>
    <row r="595" spans="3:14" x14ac:dyDescent="0.2">
      <c r="C595" s="324"/>
      <c r="D595" s="324"/>
      <c r="E595" s="324"/>
      <c r="F595" s="324"/>
      <c r="G595" s="324"/>
      <c r="H595" s="324"/>
      <c r="I595" s="324"/>
      <c r="J595" s="324"/>
      <c r="K595" s="324"/>
      <c r="L595" s="324"/>
      <c r="M595" s="324"/>
      <c r="N595" s="324"/>
    </row>
    <row r="596" spans="3:14" x14ac:dyDescent="0.2">
      <c r="C596" s="324"/>
      <c r="D596" s="324"/>
      <c r="E596" s="324"/>
      <c r="F596" s="324"/>
      <c r="G596" s="324"/>
      <c r="H596" s="324"/>
      <c r="I596" s="324"/>
      <c r="J596" s="324"/>
      <c r="K596" s="324"/>
      <c r="L596" s="324"/>
      <c r="M596" s="324"/>
      <c r="N596" s="324"/>
    </row>
    <row r="597" spans="3:14" x14ac:dyDescent="0.2">
      <c r="C597" s="324"/>
      <c r="D597" s="324"/>
      <c r="E597" s="324"/>
      <c r="F597" s="324"/>
      <c r="G597" s="324"/>
      <c r="H597" s="324"/>
      <c r="I597" s="324"/>
      <c r="J597" s="324"/>
      <c r="K597" s="324"/>
      <c r="L597" s="324"/>
      <c r="M597" s="324"/>
      <c r="N597" s="324"/>
    </row>
    <row r="598" spans="3:14" x14ac:dyDescent="0.2">
      <c r="C598" s="324"/>
      <c r="D598" s="324"/>
      <c r="E598" s="324"/>
      <c r="F598" s="324"/>
      <c r="G598" s="324"/>
      <c r="H598" s="324"/>
      <c r="I598" s="324"/>
      <c r="J598" s="324"/>
      <c r="K598" s="324"/>
      <c r="L598" s="324"/>
      <c r="M598" s="324"/>
      <c r="N598" s="324"/>
    </row>
    <row r="599" spans="3:14" x14ac:dyDescent="0.2">
      <c r="C599" s="324"/>
      <c r="D599" s="324"/>
      <c r="E599" s="324"/>
      <c r="F599" s="324"/>
      <c r="G599" s="324"/>
      <c r="H599" s="324"/>
      <c r="I599" s="324"/>
      <c r="J599" s="324"/>
      <c r="K599" s="324"/>
      <c r="L599" s="324"/>
      <c r="M599" s="324"/>
      <c r="N599" s="324"/>
    </row>
    <row r="600" spans="3:14" x14ac:dyDescent="0.2">
      <c r="C600" s="324"/>
      <c r="D600" s="324"/>
      <c r="E600" s="324"/>
      <c r="F600" s="324"/>
      <c r="G600" s="324"/>
      <c r="H600" s="324"/>
      <c r="I600" s="324"/>
      <c r="J600" s="324"/>
      <c r="K600" s="324"/>
      <c r="L600" s="324"/>
      <c r="M600" s="324"/>
      <c r="N600" s="324"/>
    </row>
    <row r="601" spans="3:14" x14ac:dyDescent="0.2">
      <c r="C601" s="324"/>
      <c r="D601" s="324"/>
      <c r="E601" s="324"/>
      <c r="F601" s="324"/>
      <c r="G601" s="324"/>
      <c r="H601" s="324"/>
      <c r="I601" s="324"/>
      <c r="J601" s="324"/>
      <c r="K601" s="324"/>
      <c r="L601" s="324"/>
      <c r="M601" s="324"/>
      <c r="N601" s="324"/>
    </row>
    <row r="602" spans="3:14" x14ac:dyDescent="0.2">
      <c r="C602" s="324"/>
      <c r="D602" s="324"/>
      <c r="E602" s="324"/>
      <c r="F602" s="324"/>
      <c r="G602" s="324"/>
      <c r="H602" s="324"/>
      <c r="I602" s="324"/>
      <c r="J602" s="324"/>
      <c r="K602" s="324"/>
      <c r="L602" s="324"/>
      <c r="M602" s="324"/>
      <c r="N602" s="324"/>
    </row>
    <row r="603" spans="3:14" x14ac:dyDescent="0.2">
      <c r="C603" s="324"/>
      <c r="D603" s="324"/>
      <c r="E603" s="324"/>
      <c r="F603" s="324"/>
      <c r="G603" s="324"/>
      <c r="H603" s="324"/>
      <c r="I603" s="324"/>
      <c r="J603" s="324"/>
      <c r="K603" s="324"/>
      <c r="L603" s="324"/>
      <c r="M603" s="324"/>
      <c r="N603" s="324"/>
    </row>
    <row r="604" spans="3:14" x14ac:dyDescent="0.2">
      <c r="C604" s="324"/>
      <c r="D604" s="324"/>
      <c r="E604" s="324"/>
      <c r="F604" s="324"/>
      <c r="G604" s="324"/>
      <c r="H604" s="324"/>
      <c r="I604" s="324"/>
      <c r="J604" s="324"/>
      <c r="K604" s="324"/>
      <c r="L604" s="324"/>
      <c r="M604" s="324"/>
      <c r="N604" s="324"/>
    </row>
    <row r="605" spans="3:14" x14ac:dyDescent="0.2">
      <c r="C605" s="324"/>
      <c r="D605" s="324"/>
      <c r="E605" s="324"/>
      <c r="F605" s="324"/>
      <c r="G605" s="324"/>
      <c r="H605" s="324"/>
      <c r="I605" s="324"/>
      <c r="J605" s="324"/>
      <c r="K605" s="324"/>
      <c r="L605" s="324"/>
      <c r="M605" s="324"/>
      <c r="N605" s="324"/>
    </row>
    <row r="606" spans="3:14" x14ac:dyDescent="0.2">
      <c r="C606" s="324"/>
      <c r="D606" s="324"/>
      <c r="E606" s="324"/>
      <c r="F606" s="324"/>
      <c r="G606" s="324"/>
      <c r="H606" s="324"/>
      <c r="I606" s="324"/>
      <c r="J606" s="324"/>
      <c r="K606" s="324"/>
      <c r="L606" s="324"/>
      <c r="M606" s="324"/>
      <c r="N606" s="324"/>
    </row>
    <row r="607" spans="3:14" x14ac:dyDescent="0.2">
      <c r="C607" s="324"/>
      <c r="D607" s="324"/>
      <c r="E607" s="324"/>
      <c r="F607" s="324"/>
      <c r="G607" s="324"/>
      <c r="H607" s="324"/>
      <c r="I607" s="324"/>
      <c r="J607" s="324"/>
      <c r="K607" s="324"/>
      <c r="L607" s="324"/>
      <c r="M607" s="324"/>
      <c r="N607" s="324"/>
    </row>
    <row r="608" spans="3:14" x14ac:dyDescent="0.2">
      <c r="C608" s="324"/>
      <c r="D608" s="324"/>
      <c r="E608" s="324"/>
      <c r="F608" s="324"/>
      <c r="G608" s="324"/>
      <c r="H608" s="324"/>
      <c r="I608" s="324"/>
      <c r="J608" s="324"/>
      <c r="K608" s="324"/>
      <c r="L608" s="324"/>
      <c r="M608" s="324"/>
      <c r="N608" s="324"/>
    </row>
    <row r="609" spans="3:14" x14ac:dyDescent="0.2">
      <c r="C609" s="324"/>
      <c r="D609" s="324"/>
      <c r="E609" s="324"/>
      <c r="F609" s="324"/>
      <c r="G609" s="324"/>
      <c r="H609" s="324"/>
      <c r="I609" s="324"/>
      <c r="J609" s="324"/>
      <c r="K609" s="324"/>
      <c r="L609" s="324"/>
      <c r="M609" s="324"/>
      <c r="N609" s="324"/>
    </row>
    <row r="610" spans="3:14" x14ac:dyDescent="0.2">
      <c r="C610" s="324"/>
      <c r="D610" s="324"/>
      <c r="E610" s="324"/>
      <c r="F610" s="324"/>
      <c r="G610" s="324"/>
      <c r="H610" s="324"/>
      <c r="I610" s="324"/>
      <c r="J610" s="324"/>
      <c r="K610" s="324"/>
      <c r="L610" s="324"/>
      <c r="M610" s="324"/>
      <c r="N610" s="324"/>
    </row>
    <row r="611" spans="3:14" x14ac:dyDescent="0.2">
      <c r="C611" s="324"/>
      <c r="D611" s="324"/>
      <c r="E611" s="324"/>
      <c r="F611" s="324"/>
      <c r="G611" s="324"/>
      <c r="H611" s="324"/>
      <c r="I611" s="324"/>
      <c r="J611" s="324"/>
      <c r="K611" s="324"/>
      <c r="L611" s="324"/>
      <c r="M611" s="324"/>
      <c r="N611" s="324"/>
    </row>
    <row r="612" spans="3:14" x14ac:dyDescent="0.2">
      <c r="C612" s="324"/>
      <c r="D612" s="324"/>
      <c r="E612" s="324"/>
      <c r="F612" s="324"/>
      <c r="G612" s="324"/>
      <c r="H612" s="324"/>
      <c r="I612" s="324"/>
      <c r="J612" s="324"/>
      <c r="K612" s="324"/>
      <c r="L612" s="324"/>
      <c r="M612" s="324"/>
      <c r="N612" s="324"/>
    </row>
    <row r="613" spans="3:14" x14ac:dyDescent="0.2">
      <c r="C613" s="324"/>
      <c r="D613" s="324"/>
      <c r="E613" s="324"/>
      <c r="F613" s="324"/>
      <c r="G613" s="324"/>
      <c r="H613" s="324"/>
      <c r="I613" s="324"/>
      <c r="J613" s="324"/>
      <c r="K613" s="324"/>
      <c r="L613" s="324"/>
      <c r="M613" s="324"/>
      <c r="N613" s="324"/>
    </row>
    <row r="614" spans="3:14" x14ac:dyDescent="0.2">
      <c r="C614" s="324"/>
      <c r="D614" s="324"/>
      <c r="E614" s="324"/>
      <c r="F614" s="324"/>
      <c r="G614" s="324"/>
      <c r="H614" s="324"/>
      <c r="I614" s="324"/>
      <c r="J614" s="324"/>
      <c r="K614" s="324"/>
      <c r="L614" s="324"/>
      <c r="M614" s="324"/>
      <c r="N614" s="324"/>
    </row>
    <row r="615" spans="3:14" x14ac:dyDescent="0.2">
      <c r="C615" s="324"/>
      <c r="D615" s="324"/>
      <c r="E615" s="324"/>
      <c r="F615" s="324"/>
      <c r="G615" s="324"/>
      <c r="H615" s="324"/>
      <c r="I615" s="324"/>
      <c r="J615" s="324"/>
      <c r="K615" s="324"/>
      <c r="L615" s="324"/>
      <c r="M615" s="324"/>
      <c r="N615" s="324"/>
    </row>
    <row r="616" spans="3:14" x14ac:dyDescent="0.2">
      <c r="C616" s="324"/>
      <c r="D616" s="324"/>
      <c r="E616" s="324"/>
      <c r="F616" s="324"/>
      <c r="G616" s="324"/>
      <c r="H616" s="324"/>
      <c r="I616" s="324"/>
      <c r="J616" s="324"/>
      <c r="K616" s="324"/>
      <c r="L616" s="324"/>
      <c r="M616" s="324"/>
      <c r="N616" s="324"/>
    </row>
    <row r="617" spans="3:14" x14ac:dyDescent="0.2">
      <c r="C617" s="324"/>
      <c r="D617" s="324"/>
      <c r="E617" s="324"/>
      <c r="F617" s="324"/>
      <c r="G617" s="324"/>
      <c r="H617" s="324"/>
      <c r="I617" s="324"/>
      <c r="J617" s="324"/>
      <c r="K617" s="324"/>
      <c r="L617" s="324"/>
      <c r="M617" s="324"/>
      <c r="N617" s="324"/>
    </row>
    <row r="618" spans="3:14" x14ac:dyDescent="0.2">
      <c r="C618" s="324"/>
      <c r="D618" s="324"/>
      <c r="E618" s="324"/>
      <c r="F618" s="324"/>
      <c r="G618" s="324"/>
      <c r="H618" s="324"/>
      <c r="I618" s="324"/>
      <c r="J618" s="324"/>
      <c r="K618" s="324"/>
      <c r="L618" s="324"/>
      <c r="M618" s="324"/>
      <c r="N618" s="324"/>
    </row>
    <row r="619" spans="3:14" x14ac:dyDescent="0.2">
      <c r="C619" s="324"/>
      <c r="D619" s="324"/>
      <c r="E619" s="324"/>
      <c r="F619" s="324"/>
      <c r="G619" s="324"/>
      <c r="H619" s="324"/>
      <c r="I619" s="324"/>
      <c r="J619" s="324"/>
      <c r="K619" s="324"/>
      <c r="L619" s="324"/>
      <c r="M619" s="324"/>
      <c r="N619" s="324"/>
    </row>
    <row r="620" spans="3:14" x14ac:dyDescent="0.2">
      <c r="C620" s="324"/>
      <c r="D620" s="324"/>
      <c r="E620" s="324"/>
      <c r="F620" s="324"/>
      <c r="G620" s="324"/>
      <c r="H620" s="324"/>
      <c r="I620" s="324"/>
      <c r="J620" s="324"/>
      <c r="K620" s="324"/>
      <c r="L620" s="324"/>
      <c r="M620" s="324"/>
      <c r="N620" s="324"/>
    </row>
    <row r="621" spans="3:14" x14ac:dyDescent="0.2">
      <c r="C621" s="324"/>
      <c r="D621" s="324"/>
      <c r="E621" s="324"/>
      <c r="F621" s="324"/>
      <c r="G621" s="324"/>
      <c r="H621" s="324"/>
      <c r="I621" s="324"/>
      <c r="J621" s="324"/>
      <c r="K621" s="324"/>
      <c r="L621" s="324"/>
      <c r="M621" s="324"/>
      <c r="N621" s="324"/>
    </row>
    <row r="622" spans="3:14" x14ac:dyDescent="0.2">
      <c r="C622" s="324"/>
      <c r="D622" s="324"/>
      <c r="E622" s="324"/>
      <c r="F622" s="324"/>
      <c r="G622" s="324"/>
      <c r="H622" s="324"/>
      <c r="I622" s="324"/>
      <c r="J622" s="324"/>
      <c r="K622" s="324"/>
      <c r="L622" s="324"/>
      <c r="M622" s="324"/>
      <c r="N622" s="324"/>
    </row>
    <row r="623" spans="3:14" x14ac:dyDescent="0.2">
      <c r="C623" s="324"/>
      <c r="D623" s="324"/>
      <c r="E623" s="324"/>
      <c r="F623" s="324"/>
      <c r="G623" s="324"/>
      <c r="H623" s="324"/>
      <c r="I623" s="324"/>
      <c r="J623" s="324"/>
      <c r="K623" s="324"/>
      <c r="L623" s="324"/>
      <c r="M623" s="324"/>
      <c r="N623" s="324"/>
    </row>
    <row r="624" spans="3:14" x14ac:dyDescent="0.2">
      <c r="C624" s="324"/>
      <c r="D624" s="324"/>
      <c r="E624" s="324"/>
      <c r="F624" s="324"/>
      <c r="G624" s="324"/>
      <c r="H624" s="324"/>
      <c r="I624" s="324"/>
      <c r="J624" s="324"/>
      <c r="K624" s="324"/>
      <c r="L624" s="324"/>
      <c r="M624" s="324"/>
      <c r="N624" s="324"/>
    </row>
    <row r="625" spans="3:14" x14ac:dyDescent="0.2">
      <c r="C625" s="324"/>
      <c r="D625" s="324"/>
      <c r="E625" s="324"/>
      <c r="F625" s="324"/>
      <c r="G625" s="324"/>
      <c r="H625" s="324"/>
      <c r="I625" s="324"/>
      <c r="J625" s="324"/>
      <c r="K625" s="324"/>
      <c r="L625" s="324"/>
      <c r="M625" s="324"/>
      <c r="N625" s="324"/>
    </row>
    <row r="626" spans="3:14" x14ac:dyDescent="0.2">
      <c r="C626" s="324"/>
      <c r="D626" s="324"/>
      <c r="E626" s="324"/>
      <c r="F626" s="324"/>
      <c r="G626" s="324"/>
      <c r="H626" s="324"/>
      <c r="I626" s="324"/>
      <c r="J626" s="324"/>
      <c r="K626" s="324"/>
      <c r="L626" s="324"/>
      <c r="M626" s="324"/>
      <c r="N626" s="324"/>
    </row>
    <row r="627" spans="3:14" x14ac:dyDescent="0.2">
      <c r="C627" s="324"/>
      <c r="D627" s="324"/>
      <c r="E627" s="324"/>
      <c r="F627" s="324"/>
      <c r="G627" s="324"/>
      <c r="H627" s="324"/>
      <c r="I627" s="324"/>
      <c r="J627" s="324"/>
      <c r="K627" s="324"/>
      <c r="L627" s="324"/>
      <c r="M627" s="324"/>
      <c r="N627" s="324"/>
    </row>
    <row r="628" spans="3:14" x14ac:dyDescent="0.2">
      <c r="C628" s="324"/>
      <c r="D628" s="324"/>
      <c r="E628" s="324"/>
      <c r="F628" s="324"/>
      <c r="G628" s="324"/>
      <c r="H628" s="324"/>
      <c r="I628" s="324"/>
      <c r="J628" s="324"/>
      <c r="K628" s="324"/>
      <c r="L628" s="324"/>
      <c r="M628" s="324"/>
      <c r="N628" s="324"/>
    </row>
    <row r="629" spans="3:14" x14ac:dyDescent="0.2">
      <c r="C629" s="324"/>
      <c r="D629" s="324"/>
      <c r="E629" s="324"/>
      <c r="F629" s="324"/>
      <c r="G629" s="324"/>
      <c r="H629" s="324"/>
      <c r="I629" s="324"/>
      <c r="J629" s="324"/>
      <c r="K629" s="324"/>
      <c r="L629" s="324"/>
      <c r="M629" s="324"/>
      <c r="N629" s="324"/>
    </row>
    <row r="630" spans="3:14" x14ac:dyDescent="0.2">
      <c r="C630" s="324"/>
      <c r="D630" s="324"/>
      <c r="E630" s="324"/>
      <c r="F630" s="324"/>
      <c r="G630" s="324"/>
      <c r="H630" s="324"/>
      <c r="I630" s="324"/>
      <c r="J630" s="324"/>
      <c r="K630" s="324"/>
      <c r="L630" s="324"/>
      <c r="M630" s="324"/>
      <c r="N630" s="324"/>
    </row>
    <row r="631" spans="3:14" x14ac:dyDescent="0.2">
      <c r="C631" s="324"/>
      <c r="D631" s="324"/>
      <c r="E631" s="324"/>
      <c r="F631" s="324"/>
      <c r="G631" s="324"/>
      <c r="H631" s="324"/>
      <c r="I631" s="324"/>
      <c r="J631" s="324"/>
      <c r="K631" s="324"/>
      <c r="L631" s="324"/>
      <c r="M631" s="324"/>
      <c r="N631" s="324"/>
    </row>
    <row r="632" spans="3:14" x14ac:dyDescent="0.2">
      <c r="C632" s="324"/>
      <c r="D632" s="324"/>
      <c r="E632" s="324"/>
      <c r="F632" s="324"/>
      <c r="G632" s="324"/>
      <c r="H632" s="324"/>
      <c r="I632" s="324"/>
      <c r="J632" s="324"/>
      <c r="K632" s="324"/>
      <c r="L632" s="324"/>
      <c r="M632" s="324"/>
      <c r="N632" s="324"/>
    </row>
    <row r="633" spans="3:14" x14ac:dyDescent="0.2">
      <c r="C633" s="324"/>
      <c r="D633" s="324"/>
      <c r="E633" s="324"/>
      <c r="F633" s="324"/>
      <c r="G633" s="324"/>
      <c r="H633" s="324"/>
      <c r="I633" s="324"/>
      <c r="J633" s="324"/>
      <c r="K633" s="324"/>
      <c r="L633" s="324"/>
      <c r="M633" s="324"/>
      <c r="N633" s="324"/>
    </row>
    <row r="634" spans="3:14" x14ac:dyDescent="0.2">
      <c r="C634" s="324"/>
      <c r="D634" s="324"/>
      <c r="E634" s="324"/>
      <c r="F634" s="324"/>
      <c r="G634" s="324"/>
      <c r="H634" s="324"/>
      <c r="I634" s="324"/>
      <c r="J634" s="324"/>
      <c r="K634" s="324"/>
      <c r="L634" s="324"/>
      <c r="M634" s="324"/>
      <c r="N634" s="324"/>
    </row>
    <row r="635" spans="3:14" x14ac:dyDescent="0.2">
      <c r="C635" s="324"/>
      <c r="D635" s="324"/>
      <c r="E635" s="324"/>
      <c r="F635" s="324"/>
      <c r="G635" s="324"/>
      <c r="H635" s="324"/>
      <c r="I635" s="324"/>
      <c r="J635" s="324"/>
      <c r="K635" s="324"/>
      <c r="L635" s="324"/>
      <c r="M635" s="324"/>
      <c r="N635" s="324"/>
    </row>
    <row r="636" spans="3:14" x14ac:dyDescent="0.2">
      <c r="C636" s="324"/>
      <c r="D636" s="324"/>
      <c r="E636" s="324"/>
      <c r="F636" s="324"/>
      <c r="G636" s="324"/>
      <c r="H636" s="324"/>
      <c r="I636" s="324"/>
      <c r="J636" s="324"/>
      <c r="K636" s="324"/>
      <c r="L636" s="324"/>
      <c r="M636" s="324"/>
      <c r="N636" s="324"/>
    </row>
    <row r="637" spans="3:14" x14ac:dyDescent="0.2">
      <c r="C637" s="324"/>
      <c r="D637" s="324"/>
      <c r="E637" s="324"/>
      <c r="F637" s="324"/>
      <c r="G637" s="324"/>
      <c r="H637" s="324"/>
      <c r="I637" s="324"/>
      <c r="J637" s="324"/>
      <c r="K637" s="324"/>
      <c r="L637" s="324"/>
      <c r="M637" s="324"/>
      <c r="N637" s="324"/>
    </row>
    <row r="638" spans="3:14" x14ac:dyDescent="0.2">
      <c r="C638" s="324"/>
      <c r="D638" s="324"/>
      <c r="E638" s="324"/>
      <c r="F638" s="324"/>
      <c r="G638" s="324"/>
      <c r="H638" s="324"/>
      <c r="I638" s="324"/>
      <c r="J638" s="324"/>
      <c r="K638" s="324"/>
      <c r="L638" s="324"/>
      <c r="M638" s="324"/>
      <c r="N638" s="324"/>
    </row>
    <row r="639" spans="3:14" x14ac:dyDescent="0.2">
      <c r="C639" s="324"/>
      <c r="D639" s="324"/>
      <c r="E639" s="324"/>
      <c r="F639" s="324"/>
      <c r="G639" s="324"/>
      <c r="H639" s="324"/>
      <c r="I639" s="324"/>
      <c r="J639" s="324"/>
      <c r="K639" s="324"/>
      <c r="L639" s="324"/>
      <c r="M639" s="324"/>
      <c r="N639" s="324"/>
    </row>
    <row r="640" spans="3:14" x14ac:dyDescent="0.2">
      <c r="C640" s="324"/>
      <c r="D640" s="324"/>
      <c r="E640" s="324"/>
      <c r="F640" s="324"/>
      <c r="G640" s="324"/>
      <c r="H640" s="324"/>
      <c r="I640" s="324"/>
      <c r="J640" s="324"/>
      <c r="K640" s="324"/>
      <c r="L640" s="324"/>
      <c r="M640" s="324"/>
      <c r="N640" s="324"/>
    </row>
    <row r="641" spans="3:14" x14ac:dyDescent="0.2">
      <c r="C641" s="324"/>
      <c r="D641" s="324"/>
      <c r="E641" s="324"/>
      <c r="F641" s="324"/>
      <c r="G641" s="324"/>
      <c r="H641" s="324"/>
      <c r="I641" s="324"/>
      <c r="J641" s="324"/>
      <c r="K641" s="324"/>
      <c r="L641" s="324"/>
      <c r="M641" s="324"/>
      <c r="N641" s="324"/>
    </row>
    <row r="642" spans="3:14" x14ac:dyDescent="0.2">
      <c r="C642" s="324"/>
      <c r="D642" s="324"/>
      <c r="E642" s="324"/>
      <c r="F642" s="324"/>
      <c r="G642" s="324"/>
      <c r="H642" s="324"/>
      <c r="I642" s="324"/>
      <c r="J642" s="324"/>
      <c r="K642" s="324"/>
      <c r="L642" s="324"/>
      <c r="M642" s="324"/>
      <c r="N642" s="324"/>
    </row>
    <row r="643" spans="3:14" x14ac:dyDescent="0.2">
      <c r="C643" s="324"/>
      <c r="D643" s="324"/>
      <c r="E643" s="324"/>
      <c r="F643" s="324"/>
      <c r="G643" s="324"/>
      <c r="H643" s="324"/>
      <c r="I643" s="324"/>
      <c r="J643" s="324"/>
      <c r="K643" s="324"/>
      <c r="L643" s="324"/>
      <c r="M643" s="324"/>
      <c r="N643" s="324"/>
    </row>
    <row r="644" spans="3:14" x14ac:dyDescent="0.2">
      <c r="C644" s="324"/>
      <c r="D644" s="324"/>
      <c r="E644" s="324"/>
      <c r="F644" s="324"/>
      <c r="G644" s="324"/>
      <c r="H644" s="324"/>
      <c r="I644" s="324"/>
      <c r="J644" s="324"/>
      <c r="K644" s="324"/>
      <c r="L644" s="324"/>
      <c r="M644" s="324"/>
      <c r="N644" s="324"/>
    </row>
    <row r="645" spans="3:14" x14ac:dyDescent="0.2">
      <c r="C645" s="324"/>
      <c r="D645" s="324"/>
      <c r="E645" s="324"/>
      <c r="F645" s="324"/>
      <c r="G645" s="324"/>
      <c r="H645" s="324"/>
      <c r="I645" s="324"/>
      <c r="J645" s="324"/>
      <c r="K645" s="324"/>
      <c r="L645" s="324"/>
      <c r="M645" s="324"/>
      <c r="N645" s="324"/>
    </row>
    <row r="646" spans="3:14" x14ac:dyDescent="0.2">
      <c r="C646" s="324"/>
      <c r="D646" s="324"/>
      <c r="E646" s="324"/>
      <c r="F646" s="324"/>
      <c r="G646" s="324"/>
      <c r="H646" s="324"/>
      <c r="I646" s="324"/>
      <c r="J646" s="324"/>
      <c r="K646" s="324"/>
      <c r="L646" s="324"/>
      <c r="M646" s="324"/>
      <c r="N646" s="324"/>
    </row>
    <row r="647" spans="3:14" x14ac:dyDescent="0.2">
      <c r="C647" s="324"/>
      <c r="D647" s="324"/>
      <c r="E647" s="324"/>
      <c r="F647" s="324"/>
      <c r="G647" s="324"/>
      <c r="H647" s="324"/>
      <c r="I647" s="324"/>
      <c r="J647" s="324"/>
      <c r="K647" s="324"/>
      <c r="L647" s="324"/>
      <c r="M647" s="324"/>
      <c r="N647" s="324"/>
    </row>
    <row r="648" spans="3:14" x14ac:dyDescent="0.2">
      <c r="C648" s="324"/>
      <c r="D648" s="324"/>
      <c r="E648" s="324"/>
      <c r="F648" s="324"/>
      <c r="G648" s="324"/>
      <c r="H648" s="324"/>
      <c r="I648" s="324"/>
      <c r="J648" s="324"/>
      <c r="K648" s="324"/>
      <c r="L648" s="324"/>
      <c r="M648" s="324"/>
      <c r="N648" s="324"/>
    </row>
    <row r="649" spans="3:14" x14ac:dyDescent="0.2">
      <c r="C649" s="324"/>
      <c r="D649" s="324"/>
      <c r="E649" s="324"/>
      <c r="F649" s="324"/>
      <c r="G649" s="324"/>
      <c r="H649" s="324"/>
      <c r="I649" s="324"/>
      <c r="J649" s="324"/>
      <c r="K649" s="324"/>
      <c r="L649" s="324"/>
      <c r="M649" s="324"/>
      <c r="N649" s="324"/>
    </row>
    <row r="650" spans="3:14" x14ac:dyDescent="0.2">
      <c r="C650" s="324"/>
      <c r="D650" s="324"/>
      <c r="E650" s="324"/>
      <c r="F650" s="324"/>
      <c r="G650" s="324"/>
      <c r="H650" s="324"/>
      <c r="I650" s="324"/>
      <c r="J650" s="324"/>
      <c r="K650" s="324"/>
      <c r="L650" s="324"/>
      <c r="M650" s="324"/>
      <c r="N650" s="324"/>
    </row>
    <row r="651" spans="3:14" x14ac:dyDescent="0.2">
      <c r="C651" s="324"/>
      <c r="D651" s="324"/>
      <c r="E651" s="324"/>
      <c r="F651" s="324"/>
      <c r="G651" s="324"/>
      <c r="H651" s="324"/>
      <c r="I651" s="324"/>
      <c r="J651" s="324"/>
      <c r="K651" s="324"/>
      <c r="L651" s="324"/>
      <c r="M651" s="324"/>
      <c r="N651" s="324"/>
    </row>
    <row r="652" spans="3:14" x14ac:dyDescent="0.2">
      <c r="C652" s="324"/>
      <c r="D652" s="324"/>
      <c r="E652" s="324"/>
      <c r="F652" s="324"/>
      <c r="G652" s="324"/>
      <c r="H652" s="324"/>
      <c r="I652" s="324"/>
      <c r="J652" s="324"/>
      <c r="K652" s="324"/>
      <c r="L652" s="324"/>
      <c r="M652" s="324"/>
      <c r="N652" s="324"/>
    </row>
    <row r="653" spans="3:14" x14ac:dyDescent="0.2">
      <c r="C653" s="324"/>
      <c r="D653" s="324"/>
      <c r="E653" s="324"/>
      <c r="F653" s="324"/>
      <c r="G653" s="324"/>
      <c r="H653" s="324"/>
      <c r="I653" s="324"/>
      <c r="J653" s="324"/>
      <c r="K653" s="324"/>
      <c r="L653" s="324"/>
      <c r="M653" s="324"/>
      <c r="N653" s="324"/>
    </row>
    <row r="654" spans="3:14" x14ac:dyDescent="0.2">
      <c r="C654" s="324"/>
      <c r="D654" s="324"/>
      <c r="E654" s="324"/>
      <c r="F654" s="324"/>
      <c r="G654" s="324"/>
      <c r="H654" s="324"/>
      <c r="I654" s="324"/>
      <c r="J654" s="324"/>
      <c r="K654" s="324"/>
      <c r="L654" s="324"/>
      <c r="M654" s="324"/>
      <c r="N654" s="324"/>
    </row>
    <row r="655" spans="3:14" x14ac:dyDescent="0.2">
      <c r="C655" s="324"/>
      <c r="D655" s="324"/>
      <c r="E655" s="324"/>
      <c r="F655" s="324"/>
      <c r="G655" s="324"/>
      <c r="H655" s="324"/>
      <c r="I655" s="324"/>
      <c r="J655" s="324"/>
      <c r="K655" s="324"/>
      <c r="L655" s="324"/>
      <c r="M655" s="324"/>
      <c r="N655" s="324"/>
    </row>
    <row r="656" spans="3:14" x14ac:dyDescent="0.2">
      <c r="C656" s="324"/>
      <c r="D656" s="324"/>
      <c r="E656" s="324"/>
      <c r="F656" s="324"/>
      <c r="G656" s="324"/>
      <c r="H656" s="324"/>
      <c r="I656" s="324"/>
      <c r="J656" s="324"/>
      <c r="K656" s="324"/>
      <c r="L656" s="324"/>
      <c r="M656" s="324"/>
      <c r="N656" s="324"/>
    </row>
    <row r="657" spans="3:14" x14ac:dyDescent="0.2">
      <c r="C657" s="324"/>
      <c r="D657" s="324"/>
      <c r="E657" s="324"/>
      <c r="F657" s="324"/>
      <c r="G657" s="324"/>
      <c r="H657" s="324"/>
      <c r="I657" s="324"/>
      <c r="J657" s="324"/>
      <c r="K657" s="324"/>
      <c r="L657" s="324"/>
      <c r="M657" s="324"/>
      <c r="N657" s="324"/>
    </row>
    <row r="658" spans="3:14" x14ac:dyDescent="0.2">
      <c r="C658" s="324"/>
      <c r="D658" s="324"/>
      <c r="E658" s="324"/>
      <c r="F658" s="324"/>
      <c r="G658" s="324"/>
      <c r="H658" s="324"/>
      <c r="I658" s="324"/>
      <c r="J658" s="324"/>
      <c r="K658" s="324"/>
      <c r="L658" s="324"/>
      <c r="M658" s="324"/>
      <c r="N658" s="324"/>
    </row>
    <row r="659" spans="3:14" x14ac:dyDescent="0.2">
      <c r="C659" s="324"/>
      <c r="D659" s="324"/>
      <c r="E659" s="324"/>
      <c r="F659" s="324"/>
      <c r="G659" s="324"/>
      <c r="H659" s="324"/>
      <c r="I659" s="324"/>
      <c r="J659" s="324"/>
      <c r="K659" s="324"/>
      <c r="L659" s="324"/>
      <c r="M659" s="324"/>
      <c r="N659" s="324"/>
    </row>
    <row r="660" spans="3:14" x14ac:dyDescent="0.2">
      <c r="C660" s="324"/>
      <c r="D660" s="324"/>
      <c r="E660" s="324"/>
      <c r="F660" s="324"/>
      <c r="G660" s="324"/>
      <c r="H660" s="324"/>
      <c r="I660" s="324"/>
      <c r="J660" s="324"/>
      <c r="K660" s="324"/>
      <c r="L660" s="324"/>
      <c r="M660" s="324"/>
      <c r="N660" s="324"/>
    </row>
    <row r="661" spans="3:14" x14ac:dyDescent="0.2">
      <c r="C661" s="324"/>
      <c r="D661" s="324"/>
      <c r="E661" s="324"/>
      <c r="F661" s="324"/>
      <c r="G661" s="324"/>
      <c r="H661" s="324"/>
      <c r="I661" s="324"/>
      <c r="J661" s="324"/>
      <c r="K661" s="324"/>
      <c r="L661" s="324"/>
      <c r="M661" s="324"/>
      <c r="N661" s="324"/>
    </row>
    <row r="662" spans="3:14" x14ac:dyDescent="0.2">
      <c r="C662" s="324"/>
      <c r="D662" s="324"/>
      <c r="E662" s="324"/>
      <c r="F662" s="324"/>
      <c r="G662" s="324"/>
      <c r="H662" s="324"/>
      <c r="I662" s="324"/>
      <c r="J662" s="324"/>
      <c r="K662" s="324"/>
      <c r="L662" s="324"/>
      <c r="M662" s="324"/>
      <c r="N662" s="324"/>
    </row>
    <row r="663" spans="3:14" x14ac:dyDescent="0.2">
      <c r="C663" s="324"/>
      <c r="D663" s="324"/>
      <c r="E663" s="324"/>
      <c r="F663" s="324"/>
      <c r="G663" s="324"/>
      <c r="H663" s="324"/>
      <c r="I663" s="324"/>
      <c r="J663" s="324"/>
      <c r="K663" s="324"/>
      <c r="L663" s="324"/>
      <c r="M663" s="324"/>
      <c r="N663" s="324"/>
    </row>
    <row r="664" spans="3:14" x14ac:dyDescent="0.2">
      <c r="C664" s="324"/>
      <c r="D664" s="324"/>
      <c r="E664" s="324"/>
      <c r="F664" s="324"/>
      <c r="G664" s="324"/>
      <c r="H664" s="324"/>
      <c r="I664" s="324"/>
      <c r="J664" s="324"/>
      <c r="K664" s="324"/>
      <c r="L664" s="324"/>
      <c r="M664" s="324"/>
      <c r="N664" s="324"/>
    </row>
    <row r="665" spans="3:14" x14ac:dyDescent="0.2">
      <c r="C665" s="324"/>
      <c r="D665" s="324"/>
      <c r="E665" s="324"/>
      <c r="F665" s="324"/>
      <c r="G665" s="324"/>
      <c r="H665" s="324"/>
      <c r="I665" s="324"/>
      <c r="J665" s="324"/>
      <c r="K665" s="324"/>
      <c r="L665" s="324"/>
      <c r="M665" s="324"/>
      <c r="N665" s="324"/>
    </row>
    <row r="666" spans="3:14" x14ac:dyDescent="0.2">
      <c r="C666" s="324"/>
      <c r="D666" s="324"/>
      <c r="E666" s="324"/>
      <c r="F666" s="324"/>
      <c r="G666" s="324"/>
      <c r="H666" s="324"/>
      <c r="I666" s="324"/>
      <c r="J666" s="324"/>
      <c r="K666" s="324"/>
      <c r="L666" s="324"/>
      <c r="M666" s="324"/>
      <c r="N666" s="324"/>
    </row>
    <row r="667" spans="3:14" x14ac:dyDescent="0.2">
      <c r="C667" s="324"/>
      <c r="D667" s="324"/>
      <c r="E667" s="324"/>
      <c r="F667" s="324"/>
      <c r="G667" s="324"/>
      <c r="H667" s="324"/>
      <c r="I667" s="324"/>
      <c r="J667" s="324"/>
      <c r="K667" s="324"/>
      <c r="L667" s="324"/>
      <c r="M667" s="324"/>
      <c r="N667" s="324"/>
    </row>
    <row r="668" spans="3:14" x14ac:dyDescent="0.2">
      <c r="C668" s="324"/>
      <c r="D668" s="324"/>
      <c r="E668" s="324"/>
      <c r="F668" s="324"/>
      <c r="G668" s="324"/>
      <c r="H668" s="324"/>
      <c r="I668" s="324"/>
      <c r="J668" s="324"/>
      <c r="K668" s="324"/>
      <c r="L668" s="324"/>
      <c r="M668" s="324"/>
      <c r="N668" s="324"/>
    </row>
    <row r="669" spans="3:14" x14ac:dyDescent="0.2">
      <c r="C669" s="324"/>
      <c r="D669" s="324"/>
      <c r="E669" s="324"/>
      <c r="F669" s="324"/>
      <c r="G669" s="324"/>
      <c r="H669" s="324"/>
      <c r="I669" s="324"/>
      <c r="J669" s="324"/>
      <c r="K669" s="324"/>
      <c r="L669" s="324"/>
      <c r="M669" s="324"/>
      <c r="N669" s="324"/>
    </row>
    <row r="670" spans="3:14" x14ac:dyDescent="0.2">
      <c r="C670" s="324"/>
      <c r="D670" s="324"/>
      <c r="E670" s="324"/>
      <c r="F670" s="324"/>
      <c r="G670" s="324"/>
      <c r="H670" s="324"/>
      <c r="I670" s="324"/>
      <c r="J670" s="324"/>
      <c r="K670" s="324"/>
      <c r="L670" s="324"/>
      <c r="M670" s="324"/>
      <c r="N670" s="324"/>
    </row>
    <row r="671" spans="3:14" x14ac:dyDescent="0.2">
      <c r="C671" s="324"/>
      <c r="D671" s="324"/>
      <c r="E671" s="324"/>
      <c r="F671" s="324"/>
      <c r="G671" s="324"/>
      <c r="H671" s="324"/>
      <c r="I671" s="324"/>
      <c r="J671" s="324"/>
      <c r="K671" s="324"/>
      <c r="L671" s="324"/>
      <c r="M671" s="324"/>
      <c r="N671" s="324"/>
    </row>
    <row r="672" spans="3:14" x14ac:dyDescent="0.2">
      <c r="C672" s="324"/>
      <c r="D672" s="324"/>
      <c r="E672" s="324"/>
      <c r="F672" s="324"/>
      <c r="G672" s="324"/>
      <c r="H672" s="324"/>
      <c r="I672" s="324"/>
      <c r="J672" s="324"/>
      <c r="K672" s="324"/>
      <c r="L672" s="324"/>
      <c r="M672" s="324"/>
      <c r="N672" s="324"/>
    </row>
    <row r="673" spans="3:14" x14ac:dyDescent="0.2">
      <c r="C673" s="324"/>
      <c r="D673" s="324"/>
      <c r="E673" s="324"/>
      <c r="F673" s="324"/>
      <c r="G673" s="324"/>
      <c r="H673" s="324"/>
      <c r="I673" s="324"/>
      <c r="J673" s="324"/>
      <c r="K673" s="324"/>
      <c r="L673" s="324"/>
      <c r="M673" s="324"/>
      <c r="N673" s="324"/>
    </row>
    <row r="674" spans="3:14" x14ac:dyDescent="0.2">
      <c r="C674" s="324"/>
      <c r="D674" s="324"/>
      <c r="E674" s="324"/>
      <c r="F674" s="324"/>
      <c r="G674" s="324"/>
      <c r="H674" s="324"/>
      <c r="I674" s="324"/>
      <c r="J674" s="324"/>
      <c r="K674" s="324"/>
      <c r="L674" s="324"/>
      <c r="M674" s="324"/>
      <c r="N674" s="324"/>
    </row>
    <row r="675" spans="3:14" x14ac:dyDescent="0.2">
      <c r="C675" s="324"/>
      <c r="D675" s="324"/>
      <c r="E675" s="324"/>
      <c r="F675" s="324"/>
      <c r="G675" s="324"/>
      <c r="H675" s="324"/>
      <c r="I675" s="324"/>
      <c r="J675" s="324"/>
      <c r="K675" s="324"/>
      <c r="L675" s="324"/>
      <c r="M675" s="324"/>
      <c r="N675" s="324"/>
    </row>
    <row r="676" spans="3:14" x14ac:dyDescent="0.2">
      <c r="C676" s="324"/>
      <c r="D676" s="324"/>
      <c r="E676" s="324"/>
      <c r="F676" s="324"/>
      <c r="G676" s="324"/>
      <c r="H676" s="324"/>
      <c r="I676" s="324"/>
      <c r="J676" s="324"/>
      <c r="K676" s="324"/>
      <c r="L676" s="324"/>
      <c r="M676" s="324"/>
      <c r="N676" s="324"/>
    </row>
    <row r="677" spans="3:14" x14ac:dyDescent="0.2">
      <c r="C677" s="324"/>
      <c r="D677" s="324"/>
      <c r="E677" s="324"/>
      <c r="F677" s="324"/>
      <c r="G677" s="324"/>
      <c r="H677" s="324"/>
      <c r="I677" s="324"/>
      <c r="J677" s="324"/>
      <c r="K677" s="324"/>
      <c r="L677" s="324"/>
      <c r="M677" s="324"/>
      <c r="N677" s="324"/>
    </row>
    <row r="678" spans="3:14" x14ac:dyDescent="0.2">
      <c r="C678" s="324"/>
      <c r="D678" s="324"/>
      <c r="E678" s="324"/>
      <c r="F678" s="324"/>
      <c r="G678" s="324"/>
      <c r="H678" s="324"/>
      <c r="I678" s="324"/>
      <c r="J678" s="324"/>
      <c r="K678" s="324"/>
      <c r="L678" s="324"/>
      <c r="M678" s="324"/>
      <c r="N678" s="324"/>
    </row>
    <row r="679" spans="3:14" x14ac:dyDescent="0.2">
      <c r="C679" s="324"/>
      <c r="D679" s="324"/>
      <c r="E679" s="324"/>
      <c r="F679" s="324"/>
      <c r="G679" s="324"/>
      <c r="H679" s="324"/>
      <c r="I679" s="324"/>
      <c r="J679" s="324"/>
      <c r="K679" s="324"/>
      <c r="L679" s="324"/>
      <c r="M679" s="324"/>
      <c r="N679" s="324"/>
    </row>
    <row r="680" spans="3:14" x14ac:dyDescent="0.2">
      <c r="C680" s="324"/>
      <c r="D680" s="324"/>
      <c r="E680" s="324"/>
      <c r="F680" s="324"/>
      <c r="G680" s="324"/>
      <c r="H680" s="324"/>
      <c r="I680" s="324"/>
      <c r="J680" s="324"/>
      <c r="K680" s="324"/>
      <c r="L680" s="324"/>
      <c r="M680" s="324"/>
      <c r="N680" s="324"/>
    </row>
    <row r="681" spans="3:14" x14ac:dyDescent="0.2">
      <c r="C681" s="324"/>
      <c r="D681" s="324"/>
      <c r="E681" s="324"/>
      <c r="F681" s="324"/>
      <c r="G681" s="324"/>
      <c r="H681" s="324"/>
      <c r="I681" s="324"/>
      <c r="J681" s="324"/>
      <c r="K681" s="324"/>
      <c r="L681" s="324"/>
      <c r="M681" s="324"/>
      <c r="N681" s="324"/>
    </row>
    <row r="682" spans="3:14" x14ac:dyDescent="0.2">
      <c r="C682" s="324"/>
      <c r="D682" s="324"/>
      <c r="E682" s="324"/>
      <c r="F682" s="324"/>
      <c r="G682" s="324"/>
      <c r="H682" s="324"/>
      <c r="I682" s="324"/>
      <c r="J682" s="324"/>
      <c r="K682" s="324"/>
      <c r="L682" s="324"/>
      <c r="M682" s="324"/>
      <c r="N682" s="324"/>
    </row>
    <row r="683" spans="3:14" x14ac:dyDescent="0.2">
      <c r="C683" s="324"/>
      <c r="D683" s="324"/>
      <c r="E683" s="324"/>
      <c r="F683" s="324"/>
      <c r="G683" s="324"/>
      <c r="H683" s="324"/>
      <c r="I683" s="324"/>
      <c r="J683" s="324"/>
      <c r="K683" s="324"/>
      <c r="L683" s="324"/>
      <c r="M683" s="324"/>
      <c r="N683" s="324"/>
    </row>
    <row r="684" spans="3:14" x14ac:dyDescent="0.2">
      <c r="C684" s="324"/>
      <c r="D684" s="324"/>
      <c r="E684" s="324"/>
      <c r="F684" s="324"/>
      <c r="G684" s="324"/>
      <c r="H684" s="324"/>
      <c r="I684" s="324"/>
      <c r="J684" s="324"/>
      <c r="K684" s="324"/>
      <c r="L684" s="324"/>
      <c r="M684" s="324"/>
      <c r="N684" s="324"/>
    </row>
    <row r="685" spans="3:14" x14ac:dyDescent="0.2">
      <c r="C685" s="324"/>
      <c r="D685" s="324"/>
      <c r="E685" s="324"/>
      <c r="F685" s="324"/>
      <c r="G685" s="324"/>
      <c r="H685" s="324"/>
      <c r="I685" s="324"/>
      <c r="J685" s="324"/>
      <c r="K685" s="324"/>
      <c r="L685" s="324"/>
      <c r="M685" s="324"/>
      <c r="N685" s="324"/>
    </row>
    <row r="686" spans="3:14" x14ac:dyDescent="0.2">
      <c r="C686" s="324"/>
      <c r="D686" s="324"/>
      <c r="E686" s="324"/>
      <c r="F686" s="324"/>
      <c r="G686" s="324"/>
      <c r="H686" s="324"/>
      <c r="I686" s="324"/>
      <c r="J686" s="324"/>
      <c r="K686" s="324"/>
      <c r="L686" s="324"/>
      <c r="M686" s="324"/>
      <c r="N686" s="324"/>
    </row>
    <row r="687" spans="3:14" x14ac:dyDescent="0.2">
      <c r="C687" s="324"/>
      <c r="D687" s="324"/>
      <c r="E687" s="324"/>
      <c r="F687" s="324"/>
      <c r="G687" s="324"/>
      <c r="H687" s="324"/>
      <c r="I687" s="324"/>
      <c r="J687" s="324"/>
      <c r="K687" s="324"/>
      <c r="L687" s="324"/>
      <c r="M687" s="324"/>
      <c r="N687" s="324"/>
    </row>
    <row r="688" spans="3:14" x14ac:dyDescent="0.2">
      <c r="C688" s="324"/>
      <c r="D688" s="324"/>
      <c r="E688" s="324"/>
      <c r="F688" s="324"/>
      <c r="G688" s="324"/>
      <c r="H688" s="324"/>
      <c r="I688" s="324"/>
      <c r="J688" s="324"/>
      <c r="K688" s="324"/>
      <c r="L688" s="324"/>
      <c r="M688" s="324"/>
      <c r="N688" s="324"/>
    </row>
    <row r="689" spans="3:14" x14ac:dyDescent="0.2">
      <c r="C689" s="324"/>
      <c r="D689" s="324"/>
      <c r="E689" s="324"/>
      <c r="F689" s="324"/>
      <c r="G689" s="324"/>
      <c r="H689" s="324"/>
      <c r="I689" s="324"/>
      <c r="J689" s="324"/>
      <c r="K689" s="324"/>
      <c r="L689" s="324"/>
      <c r="M689" s="324"/>
      <c r="N689" s="324"/>
    </row>
    <row r="690" spans="3:14" x14ac:dyDescent="0.2">
      <c r="C690" s="324"/>
      <c r="D690" s="324"/>
      <c r="E690" s="324"/>
      <c r="F690" s="324"/>
      <c r="G690" s="324"/>
      <c r="H690" s="324"/>
      <c r="I690" s="324"/>
      <c r="J690" s="324"/>
      <c r="K690" s="324"/>
      <c r="L690" s="324"/>
      <c r="M690" s="324"/>
      <c r="N690" s="324"/>
    </row>
    <row r="691" spans="3:14" x14ac:dyDescent="0.2">
      <c r="C691" s="324"/>
      <c r="D691" s="324"/>
      <c r="E691" s="324"/>
      <c r="F691" s="324"/>
      <c r="G691" s="324"/>
      <c r="H691" s="324"/>
      <c r="I691" s="324"/>
      <c r="J691" s="324"/>
      <c r="K691" s="324"/>
      <c r="L691" s="324"/>
      <c r="M691" s="324"/>
      <c r="N691" s="324"/>
    </row>
    <row r="692" spans="3:14" x14ac:dyDescent="0.2">
      <c r="C692" s="324"/>
      <c r="D692" s="324"/>
      <c r="E692" s="324"/>
      <c r="F692" s="324"/>
      <c r="G692" s="324"/>
      <c r="H692" s="324"/>
      <c r="I692" s="324"/>
      <c r="J692" s="324"/>
      <c r="K692" s="324"/>
      <c r="L692" s="324"/>
      <c r="M692" s="324"/>
      <c r="N692" s="324"/>
    </row>
    <row r="693" spans="3:14" x14ac:dyDescent="0.2">
      <c r="C693" s="324"/>
      <c r="D693" s="324"/>
      <c r="E693" s="324"/>
      <c r="F693" s="324"/>
      <c r="G693" s="324"/>
      <c r="H693" s="324"/>
      <c r="I693" s="324"/>
      <c r="J693" s="324"/>
      <c r="K693" s="324"/>
      <c r="L693" s="324"/>
      <c r="M693" s="324"/>
      <c r="N693" s="324"/>
    </row>
    <row r="694" spans="3:14" x14ac:dyDescent="0.2">
      <c r="C694" s="324"/>
      <c r="D694" s="324"/>
      <c r="E694" s="324"/>
      <c r="F694" s="324"/>
      <c r="G694" s="324"/>
      <c r="H694" s="324"/>
      <c r="I694" s="324"/>
      <c r="J694" s="324"/>
      <c r="K694" s="324"/>
      <c r="L694" s="324"/>
      <c r="M694" s="324"/>
      <c r="N694" s="324"/>
    </row>
    <row r="695" spans="3:14" x14ac:dyDescent="0.2">
      <c r="C695" s="324"/>
      <c r="D695" s="324"/>
      <c r="E695" s="324"/>
      <c r="F695" s="324"/>
      <c r="G695" s="324"/>
      <c r="H695" s="324"/>
      <c r="I695" s="324"/>
      <c r="J695" s="324"/>
      <c r="K695" s="324"/>
      <c r="L695" s="324"/>
      <c r="M695" s="324"/>
      <c r="N695" s="324"/>
    </row>
    <row r="696" spans="3:14" x14ac:dyDescent="0.2">
      <c r="C696" s="324"/>
      <c r="D696" s="324"/>
      <c r="E696" s="324"/>
      <c r="F696" s="324"/>
      <c r="G696" s="324"/>
      <c r="H696" s="324"/>
      <c r="I696" s="324"/>
      <c r="J696" s="324"/>
      <c r="K696" s="324"/>
      <c r="L696" s="324"/>
      <c r="M696" s="324"/>
      <c r="N696" s="324"/>
    </row>
    <row r="697" spans="3:14" x14ac:dyDescent="0.2">
      <c r="C697" s="324"/>
      <c r="D697" s="324"/>
      <c r="E697" s="324"/>
      <c r="F697" s="324"/>
      <c r="G697" s="324"/>
      <c r="H697" s="324"/>
      <c r="I697" s="324"/>
      <c r="J697" s="324"/>
      <c r="K697" s="324"/>
      <c r="L697" s="324"/>
      <c r="M697" s="324"/>
      <c r="N697" s="324"/>
    </row>
    <row r="698" spans="3:14" x14ac:dyDescent="0.2">
      <c r="C698" s="324"/>
      <c r="D698" s="324"/>
      <c r="E698" s="324"/>
      <c r="F698" s="324"/>
      <c r="G698" s="324"/>
      <c r="H698" s="324"/>
      <c r="I698" s="324"/>
      <c r="J698" s="324"/>
      <c r="K698" s="324"/>
      <c r="L698" s="324"/>
      <c r="M698" s="324"/>
      <c r="N698" s="324"/>
    </row>
    <row r="699" spans="3:14" x14ac:dyDescent="0.2">
      <c r="C699" s="324"/>
      <c r="D699" s="324"/>
      <c r="E699" s="324"/>
      <c r="F699" s="324"/>
      <c r="G699" s="324"/>
      <c r="H699" s="324"/>
      <c r="I699" s="324"/>
      <c r="J699" s="324"/>
      <c r="K699" s="324"/>
      <c r="L699" s="324"/>
      <c r="M699" s="324"/>
      <c r="N699" s="324"/>
    </row>
    <row r="700" spans="3:14" x14ac:dyDescent="0.2">
      <c r="C700" s="324"/>
      <c r="D700" s="324"/>
      <c r="E700" s="324"/>
      <c r="F700" s="324"/>
      <c r="G700" s="324"/>
      <c r="H700" s="324"/>
      <c r="I700" s="324"/>
      <c r="J700" s="324"/>
      <c r="K700" s="324"/>
      <c r="L700" s="324"/>
      <c r="M700" s="324"/>
      <c r="N700" s="324"/>
    </row>
    <row r="701" spans="3:14" x14ac:dyDescent="0.2">
      <c r="C701" s="324"/>
      <c r="D701" s="324"/>
      <c r="E701" s="324"/>
      <c r="F701" s="324"/>
      <c r="G701" s="324"/>
      <c r="H701" s="324"/>
      <c r="I701" s="324"/>
      <c r="J701" s="324"/>
      <c r="K701" s="324"/>
      <c r="L701" s="324"/>
      <c r="M701" s="324"/>
      <c r="N701" s="324"/>
    </row>
    <row r="702" spans="3:14" x14ac:dyDescent="0.2">
      <c r="C702" s="324"/>
      <c r="D702" s="324"/>
      <c r="E702" s="324"/>
      <c r="F702" s="324"/>
      <c r="G702" s="324"/>
      <c r="H702" s="324"/>
      <c r="I702" s="324"/>
      <c r="J702" s="324"/>
      <c r="K702" s="324"/>
      <c r="L702" s="324"/>
      <c r="M702" s="324"/>
      <c r="N702" s="324"/>
    </row>
    <row r="703" spans="3:14" x14ac:dyDescent="0.2">
      <c r="C703" s="324"/>
      <c r="D703" s="324"/>
      <c r="E703" s="324"/>
      <c r="F703" s="324"/>
      <c r="G703" s="324"/>
      <c r="H703" s="324"/>
      <c r="I703" s="324"/>
      <c r="J703" s="324"/>
      <c r="K703" s="324"/>
      <c r="L703" s="324"/>
      <c r="M703" s="324"/>
      <c r="N703" s="324"/>
    </row>
    <row r="704" spans="3:14" x14ac:dyDescent="0.2">
      <c r="C704" s="324"/>
      <c r="D704" s="324"/>
      <c r="E704" s="324"/>
      <c r="F704" s="324"/>
      <c r="G704" s="324"/>
      <c r="H704" s="324"/>
      <c r="I704" s="324"/>
      <c r="J704" s="324"/>
      <c r="K704" s="324"/>
      <c r="L704" s="324"/>
      <c r="M704" s="324"/>
      <c r="N704" s="324"/>
    </row>
    <row r="705" spans="3:14" x14ac:dyDescent="0.2">
      <c r="C705" s="324"/>
      <c r="D705" s="324"/>
      <c r="E705" s="324"/>
      <c r="F705" s="324"/>
      <c r="G705" s="324"/>
      <c r="H705" s="324"/>
      <c r="I705" s="324"/>
      <c r="J705" s="324"/>
      <c r="K705" s="324"/>
      <c r="L705" s="324"/>
      <c r="M705" s="324"/>
      <c r="N705" s="324"/>
    </row>
    <row r="706" spans="3:14" x14ac:dyDescent="0.2">
      <c r="C706" s="324"/>
      <c r="D706" s="324"/>
      <c r="E706" s="324"/>
      <c r="F706" s="324"/>
      <c r="G706" s="324"/>
      <c r="H706" s="324"/>
      <c r="I706" s="324"/>
      <c r="J706" s="324"/>
      <c r="K706" s="324"/>
      <c r="L706" s="324"/>
      <c r="M706" s="324"/>
      <c r="N706" s="324"/>
    </row>
    <row r="707" spans="3:14" x14ac:dyDescent="0.2">
      <c r="C707" s="324"/>
      <c r="D707" s="324"/>
      <c r="E707" s="324"/>
      <c r="F707" s="324"/>
      <c r="G707" s="324"/>
      <c r="H707" s="324"/>
      <c r="I707" s="324"/>
      <c r="J707" s="324"/>
      <c r="K707" s="324"/>
      <c r="L707" s="324"/>
      <c r="M707" s="324"/>
      <c r="N707" s="324"/>
    </row>
    <row r="708" spans="3:14" x14ac:dyDescent="0.2">
      <c r="C708" s="324"/>
      <c r="D708" s="324"/>
      <c r="E708" s="324"/>
      <c r="F708" s="324"/>
      <c r="G708" s="324"/>
      <c r="H708" s="324"/>
      <c r="I708" s="324"/>
      <c r="J708" s="324"/>
      <c r="K708" s="324"/>
      <c r="L708" s="324"/>
      <c r="M708" s="324"/>
      <c r="N708" s="324"/>
    </row>
    <row r="709" spans="3:14" x14ac:dyDescent="0.2">
      <c r="C709" s="324"/>
      <c r="D709" s="324"/>
      <c r="E709" s="324"/>
      <c r="F709" s="324"/>
      <c r="G709" s="324"/>
      <c r="H709" s="324"/>
      <c r="I709" s="324"/>
      <c r="J709" s="324"/>
      <c r="K709" s="324"/>
      <c r="L709" s="324"/>
      <c r="M709" s="324"/>
      <c r="N709" s="324"/>
    </row>
    <row r="710" spans="3:14" x14ac:dyDescent="0.2">
      <c r="C710" s="324"/>
      <c r="D710" s="324"/>
      <c r="E710" s="324"/>
      <c r="F710" s="324"/>
      <c r="G710" s="324"/>
      <c r="H710" s="324"/>
      <c r="I710" s="324"/>
      <c r="J710" s="324"/>
      <c r="K710" s="324"/>
      <c r="L710" s="324"/>
      <c r="M710" s="324"/>
      <c r="N710" s="324"/>
    </row>
    <row r="711" spans="3:14" x14ac:dyDescent="0.2">
      <c r="C711" s="324"/>
      <c r="D711" s="324"/>
      <c r="E711" s="324"/>
      <c r="F711" s="324"/>
      <c r="G711" s="324"/>
      <c r="H711" s="324"/>
      <c r="I711" s="324"/>
      <c r="J711" s="324"/>
      <c r="K711" s="324"/>
      <c r="L711" s="324"/>
      <c r="M711" s="324"/>
      <c r="N711" s="324"/>
    </row>
    <row r="712" spans="3:14" x14ac:dyDescent="0.2">
      <c r="C712" s="324"/>
      <c r="D712" s="324"/>
      <c r="E712" s="324"/>
      <c r="F712" s="324"/>
      <c r="G712" s="324"/>
      <c r="H712" s="324"/>
      <c r="I712" s="324"/>
      <c r="J712" s="324"/>
      <c r="K712" s="324"/>
      <c r="L712" s="324"/>
      <c r="M712" s="324"/>
      <c r="N712" s="324"/>
    </row>
    <row r="713" spans="3:14" x14ac:dyDescent="0.2">
      <c r="C713" s="324"/>
      <c r="D713" s="324"/>
      <c r="E713" s="324"/>
      <c r="F713" s="324"/>
      <c r="G713" s="324"/>
      <c r="H713" s="324"/>
      <c r="I713" s="324"/>
      <c r="J713" s="324"/>
      <c r="K713" s="324"/>
      <c r="L713" s="324"/>
      <c r="M713" s="324"/>
      <c r="N713" s="324"/>
    </row>
    <row r="714" spans="3:14" x14ac:dyDescent="0.2">
      <c r="C714" s="324"/>
      <c r="D714" s="324"/>
      <c r="E714" s="324"/>
      <c r="F714" s="324"/>
      <c r="G714" s="324"/>
      <c r="H714" s="324"/>
      <c r="I714" s="324"/>
      <c r="J714" s="324"/>
      <c r="K714" s="324"/>
      <c r="L714" s="324"/>
      <c r="M714" s="324"/>
      <c r="N714" s="324"/>
    </row>
    <row r="715" spans="3:14" x14ac:dyDescent="0.2">
      <c r="C715" s="324"/>
      <c r="D715" s="324"/>
      <c r="E715" s="324"/>
      <c r="F715" s="324"/>
      <c r="G715" s="324"/>
      <c r="H715" s="324"/>
      <c r="I715" s="324"/>
      <c r="J715" s="324"/>
      <c r="K715" s="324"/>
      <c r="L715" s="324"/>
      <c r="M715" s="324"/>
      <c r="N715" s="324"/>
    </row>
    <row r="716" spans="3:14" x14ac:dyDescent="0.2">
      <c r="C716" s="324"/>
      <c r="D716" s="324"/>
      <c r="E716" s="324"/>
      <c r="F716" s="324"/>
      <c r="G716" s="324"/>
      <c r="H716" s="324"/>
      <c r="I716" s="324"/>
      <c r="J716" s="324"/>
      <c r="K716" s="324"/>
      <c r="L716" s="324"/>
      <c r="M716" s="324"/>
      <c r="N716" s="324"/>
    </row>
    <row r="717" spans="3:14" x14ac:dyDescent="0.2">
      <c r="C717" s="324"/>
      <c r="D717" s="324"/>
      <c r="E717" s="324"/>
      <c r="F717" s="324"/>
      <c r="G717" s="324"/>
      <c r="H717" s="324"/>
      <c r="I717" s="324"/>
      <c r="J717" s="324"/>
      <c r="K717" s="324"/>
      <c r="L717" s="324"/>
      <c r="M717" s="324"/>
      <c r="N717" s="324"/>
    </row>
    <row r="718" spans="3:14" x14ac:dyDescent="0.2">
      <c r="C718" s="324"/>
      <c r="D718" s="324"/>
      <c r="E718" s="324"/>
      <c r="F718" s="324"/>
      <c r="G718" s="324"/>
      <c r="H718" s="324"/>
      <c r="I718" s="324"/>
      <c r="J718" s="324"/>
      <c r="K718" s="324"/>
      <c r="L718" s="324"/>
      <c r="M718" s="324"/>
      <c r="N718" s="324"/>
    </row>
    <row r="719" spans="3:14" x14ac:dyDescent="0.2">
      <c r="C719" s="324"/>
      <c r="D719" s="324"/>
      <c r="E719" s="324"/>
      <c r="F719" s="324"/>
      <c r="G719" s="324"/>
      <c r="H719" s="324"/>
      <c r="I719" s="324"/>
      <c r="J719" s="324"/>
      <c r="K719" s="324"/>
      <c r="L719" s="324"/>
      <c r="M719" s="324"/>
      <c r="N719" s="324"/>
    </row>
    <row r="720" spans="3:14" x14ac:dyDescent="0.2">
      <c r="C720" s="324"/>
      <c r="D720" s="324"/>
      <c r="E720" s="324"/>
      <c r="F720" s="324"/>
      <c r="G720" s="324"/>
      <c r="H720" s="324"/>
      <c r="I720" s="324"/>
      <c r="J720" s="324"/>
      <c r="K720" s="324"/>
      <c r="L720" s="324"/>
      <c r="M720" s="324"/>
      <c r="N720" s="324"/>
    </row>
    <row r="721" spans="3:14" x14ac:dyDescent="0.2">
      <c r="C721" s="324"/>
      <c r="D721" s="324"/>
      <c r="E721" s="324"/>
      <c r="F721" s="324"/>
      <c r="G721" s="324"/>
      <c r="H721" s="324"/>
      <c r="I721" s="324"/>
      <c r="J721" s="324"/>
      <c r="K721" s="324"/>
      <c r="L721" s="324"/>
      <c r="M721" s="324"/>
      <c r="N721" s="324"/>
    </row>
    <row r="722" spans="3:14" x14ac:dyDescent="0.2">
      <c r="C722" s="324"/>
      <c r="D722" s="324"/>
      <c r="E722" s="324"/>
      <c r="F722" s="324"/>
      <c r="G722" s="324"/>
      <c r="H722" s="324"/>
      <c r="I722" s="324"/>
      <c r="J722" s="324"/>
      <c r="K722" s="324"/>
      <c r="L722" s="324"/>
      <c r="M722" s="324"/>
      <c r="N722" s="324"/>
    </row>
    <row r="723" spans="3:14" x14ac:dyDescent="0.2">
      <c r="C723" s="324"/>
      <c r="D723" s="324"/>
      <c r="E723" s="324"/>
      <c r="F723" s="324"/>
      <c r="G723" s="324"/>
      <c r="H723" s="324"/>
      <c r="I723" s="324"/>
      <c r="J723" s="324"/>
      <c r="K723" s="324"/>
      <c r="L723" s="324"/>
      <c r="M723" s="324"/>
      <c r="N723" s="324"/>
    </row>
    <row r="724" spans="3:14" x14ac:dyDescent="0.2">
      <c r="C724" s="324"/>
      <c r="D724" s="324"/>
      <c r="E724" s="324"/>
      <c r="F724" s="324"/>
      <c r="G724" s="324"/>
      <c r="H724" s="324"/>
      <c r="I724" s="324"/>
      <c r="J724" s="324"/>
      <c r="K724" s="324"/>
      <c r="L724" s="324"/>
      <c r="M724" s="324"/>
      <c r="N724" s="324"/>
    </row>
    <row r="725" spans="3:14" x14ac:dyDescent="0.2">
      <c r="C725" s="324"/>
      <c r="D725" s="324"/>
      <c r="E725" s="324"/>
      <c r="F725" s="324"/>
      <c r="G725" s="324"/>
      <c r="H725" s="324"/>
      <c r="I725" s="324"/>
      <c r="J725" s="324"/>
      <c r="K725" s="324"/>
      <c r="L725" s="324"/>
      <c r="M725" s="324"/>
      <c r="N725" s="324"/>
    </row>
    <row r="726" spans="3:14" x14ac:dyDescent="0.2">
      <c r="C726" s="324"/>
      <c r="D726" s="324"/>
      <c r="E726" s="324"/>
      <c r="F726" s="324"/>
      <c r="G726" s="324"/>
      <c r="H726" s="324"/>
      <c r="I726" s="324"/>
      <c r="J726" s="324"/>
      <c r="K726" s="324"/>
      <c r="L726" s="324"/>
      <c r="M726" s="324"/>
      <c r="N726" s="324"/>
    </row>
    <row r="727" spans="3:14" x14ac:dyDescent="0.2">
      <c r="C727" s="324"/>
      <c r="D727" s="324"/>
      <c r="E727" s="324"/>
      <c r="F727" s="324"/>
      <c r="G727" s="324"/>
      <c r="H727" s="324"/>
      <c r="I727" s="324"/>
      <c r="J727" s="324"/>
      <c r="K727" s="324"/>
      <c r="L727" s="324"/>
      <c r="M727" s="324"/>
      <c r="N727" s="324"/>
    </row>
    <row r="728" spans="3:14" x14ac:dyDescent="0.2">
      <c r="C728" s="324"/>
      <c r="D728" s="324"/>
      <c r="E728" s="324"/>
      <c r="F728" s="324"/>
      <c r="G728" s="324"/>
      <c r="H728" s="324"/>
      <c r="I728" s="324"/>
      <c r="J728" s="324"/>
      <c r="K728" s="324"/>
      <c r="L728" s="324"/>
      <c r="M728" s="324"/>
      <c r="N728" s="324"/>
    </row>
    <row r="729" spans="3:14" x14ac:dyDescent="0.2">
      <c r="C729" s="324"/>
      <c r="D729" s="324"/>
      <c r="E729" s="324"/>
      <c r="F729" s="324"/>
      <c r="G729" s="324"/>
      <c r="H729" s="324"/>
      <c r="I729" s="324"/>
      <c r="J729" s="324"/>
      <c r="K729" s="324"/>
      <c r="L729" s="324"/>
      <c r="M729" s="324"/>
      <c r="N729" s="324"/>
    </row>
    <row r="730" spans="3:14" x14ac:dyDescent="0.2">
      <c r="C730" s="324"/>
      <c r="D730" s="324"/>
      <c r="E730" s="324"/>
      <c r="F730" s="324"/>
      <c r="G730" s="324"/>
      <c r="H730" s="324"/>
      <c r="I730" s="324"/>
      <c r="J730" s="324"/>
      <c r="K730" s="324"/>
      <c r="L730" s="324"/>
      <c r="M730" s="324"/>
      <c r="N730" s="324"/>
    </row>
    <row r="731" spans="3:14" x14ac:dyDescent="0.2">
      <c r="C731" s="324"/>
      <c r="D731" s="324"/>
      <c r="E731" s="324"/>
      <c r="F731" s="324"/>
      <c r="G731" s="324"/>
      <c r="H731" s="324"/>
      <c r="I731" s="324"/>
      <c r="J731" s="324"/>
      <c r="K731" s="324"/>
      <c r="L731" s="324"/>
      <c r="M731" s="324"/>
      <c r="N731" s="324"/>
    </row>
    <row r="732" spans="3:14" x14ac:dyDescent="0.2">
      <c r="C732" s="324"/>
      <c r="D732" s="324"/>
      <c r="E732" s="324"/>
      <c r="F732" s="324"/>
      <c r="G732" s="324"/>
      <c r="H732" s="324"/>
      <c r="I732" s="324"/>
      <c r="J732" s="324"/>
      <c r="K732" s="324"/>
      <c r="L732" s="324"/>
      <c r="M732" s="324"/>
      <c r="N732" s="324"/>
    </row>
    <row r="733" spans="3:14" x14ac:dyDescent="0.2">
      <c r="C733" s="324"/>
      <c r="D733" s="324"/>
      <c r="E733" s="324"/>
      <c r="F733" s="324"/>
      <c r="G733" s="324"/>
      <c r="H733" s="324"/>
      <c r="I733" s="324"/>
      <c r="J733" s="324"/>
      <c r="K733" s="324"/>
      <c r="L733" s="324"/>
      <c r="M733" s="324"/>
      <c r="N733" s="324"/>
    </row>
    <row r="734" spans="3:14" x14ac:dyDescent="0.2">
      <c r="C734" s="324"/>
      <c r="D734" s="324"/>
      <c r="E734" s="324"/>
      <c r="F734" s="324"/>
      <c r="G734" s="324"/>
      <c r="H734" s="324"/>
      <c r="I734" s="324"/>
      <c r="J734" s="324"/>
      <c r="K734" s="324"/>
      <c r="L734" s="324"/>
      <c r="M734" s="324"/>
      <c r="N734" s="324"/>
    </row>
    <row r="735" spans="3:14" x14ac:dyDescent="0.2">
      <c r="C735" s="324"/>
      <c r="D735" s="324"/>
      <c r="E735" s="324"/>
      <c r="F735" s="324"/>
      <c r="G735" s="324"/>
      <c r="H735" s="324"/>
      <c r="I735" s="324"/>
      <c r="J735" s="324"/>
      <c r="K735" s="324"/>
      <c r="L735" s="324"/>
      <c r="M735" s="324"/>
      <c r="N735" s="324"/>
    </row>
    <row r="736" spans="3:14" x14ac:dyDescent="0.2">
      <c r="C736" s="324"/>
      <c r="D736" s="324"/>
      <c r="E736" s="324"/>
      <c r="F736" s="324"/>
      <c r="G736" s="324"/>
      <c r="H736" s="324"/>
      <c r="I736" s="324"/>
      <c r="J736" s="324"/>
      <c r="K736" s="324"/>
      <c r="L736" s="324"/>
      <c r="M736" s="324"/>
      <c r="N736" s="324"/>
    </row>
    <row r="737" spans="3:14" x14ac:dyDescent="0.2">
      <c r="C737" s="324"/>
      <c r="D737" s="324"/>
      <c r="E737" s="324"/>
      <c r="F737" s="324"/>
      <c r="G737" s="324"/>
      <c r="H737" s="324"/>
      <c r="I737" s="324"/>
      <c r="J737" s="324"/>
      <c r="K737" s="324"/>
      <c r="L737" s="324"/>
      <c r="M737" s="324"/>
      <c r="N737" s="324"/>
    </row>
    <row r="738" spans="3:14" x14ac:dyDescent="0.2">
      <c r="C738" s="324"/>
      <c r="D738" s="324"/>
      <c r="E738" s="324"/>
      <c r="F738" s="324"/>
      <c r="G738" s="324"/>
      <c r="H738" s="324"/>
      <c r="I738" s="324"/>
      <c r="J738" s="324"/>
      <c r="K738" s="324"/>
      <c r="L738" s="324"/>
      <c r="M738" s="324"/>
      <c r="N738" s="324"/>
    </row>
    <row r="739" spans="3:14" x14ac:dyDescent="0.2">
      <c r="C739" s="324"/>
      <c r="D739" s="324"/>
      <c r="E739" s="324"/>
      <c r="F739" s="324"/>
      <c r="G739" s="324"/>
      <c r="H739" s="324"/>
      <c r="I739" s="324"/>
      <c r="J739" s="324"/>
      <c r="K739" s="324"/>
      <c r="L739" s="324"/>
      <c r="M739" s="324"/>
      <c r="N739" s="324"/>
    </row>
    <row r="740" spans="3:14" x14ac:dyDescent="0.2">
      <c r="C740" s="324"/>
      <c r="D740" s="324"/>
      <c r="E740" s="324"/>
      <c r="F740" s="324"/>
      <c r="G740" s="324"/>
      <c r="H740" s="324"/>
      <c r="I740" s="324"/>
      <c r="J740" s="324"/>
      <c r="K740" s="324"/>
      <c r="L740" s="324"/>
      <c r="M740" s="324"/>
      <c r="N740" s="324"/>
    </row>
    <row r="741" spans="3:14" x14ac:dyDescent="0.2">
      <c r="C741" s="324"/>
      <c r="D741" s="324"/>
      <c r="E741" s="324"/>
      <c r="F741" s="324"/>
      <c r="G741" s="324"/>
      <c r="H741" s="324"/>
      <c r="I741" s="324"/>
      <c r="J741" s="324"/>
      <c r="K741" s="324"/>
      <c r="L741" s="324"/>
      <c r="M741" s="324"/>
      <c r="N741" s="324"/>
    </row>
    <row r="742" spans="3:14" x14ac:dyDescent="0.2">
      <c r="C742" s="324"/>
      <c r="D742" s="324"/>
      <c r="E742" s="324"/>
      <c r="F742" s="324"/>
      <c r="G742" s="324"/>
      <c r="H742" s="324"/>
      <c r="I742" s="324"/>
      <c r="J742" s="324"/>
      <c r="K742" s="324"/>
      <c r="L742" s="324"/>
      <c r="M742" s="324"/>
      <c r="N742" s="324"/>
    </row>
    <row r="743" spans="3:14" x14ac:dyDescent="0.2">
      <c r="C743" s="324"/>
      <c r="D743" s="324"/>
      <c r="E743" s="324"/>
      <c r="F743" s="324"/>
      <c r="G743" s="324"/>
      <c r="H743" s="324"/>
      <c r="I743" s="324"/>
      <c r="J743" s="324"/>
      <c r="K743" s="324"/>
      <c r="L743" s="324"/>
      <c r="M743" s="324"/>
      <c r="N743" s="324"/>
    </row>
    <row r="744" spans="3:14" x14ac:dyDescent="0.2">
      <c r="C744" s="324"/>
      <c r="D744" s="324"/>
      <c r="E744" s="324"/>
      <c r="F744" s="324"/>
      <c r="G744" s="324"/>
      <c r="H744" s="324"/>
      <c r="I744" s="324"/>
      <c r="J744" s="324"/>
      <c r="K744" s="324"/>
      <c r="L744" s="324"/>
      <c r="M744" s="324"/>
      <c r="N744" s="324"/>
    </row>
    <row r="745" spans="3:14" x14ac:dyDescent="0.2">
      <c r="C745" s="324"/>
      <c r="D745" s="324"/>
      <c r="E745" s="324"/>
      <c r="F745" s="324"/>
      <c r="G745" s="324"/>
      <c r="H745" s="324"/>
      <c r="I745" s="324"/>
      <c r="J745" s="324"/>
      <c r="K745" s="324"/>
      <c r="L745" s="324"/>
      <c r="M745" s="324"/>
      <c r="N745" s="324"/>
    </row>
    <row r="746" spans="3:14" x14ac:dyDescent="0.2">
      <c r="C746" s="324"/>
      <c r="D746" s="324"/>
      <c r="E746" s="324"/>
      <c r="F746" s="324"/>
      <c r="G746" s="324"/>
      <c r="H746" s="324"/>
      <c r="I746" s="324"/>
      <c r="J746" s="324"/>
      <c r="K746" s="324"/>
      <c r="L746" s="324"/>
      <c r="M746" s="324"/>
      <c r="N746" s="324"/>
    </row>
    <row r="747" spans="3:14" x14ac:dyDescent="0.2">
      <c r="C747" s="324"/>
      <c r="D747" s="324"/>
      <c r="E747" s="324"/>
      <c r="F747" s="324"/>
      <c r="G747" s="324"/>
      <c r="H747" s="324"/>
      <c r="I747" s="324"/>
      <c r="J747" s="324"/>
      <c r="K747" s="324"/>
      <c r="L747" s="324"/>
      <c r="M747" s="324"/>
      <c r="N747" s="324"/>
    </row>
    <row r="748" spans="3:14" x14ac:dyDescent="0.2">
      <c r="C748" s="324"/>
      <c r="D748" s="324"/>
      <c r="E748" s="324"/>
      <c r="F748" s="324"/>
      <c r="G748" s="324"/>
      <c r="H748" s="324"/>
      <c r="I748" s="324"/>
      <c r="J748" s="324"/>
      <c r="K748" s="324"/>
      <c r="L748" s="324"/>
      <c r="M748" s="324"/>
      <c r="N748" s="324"/>
    </row>
    <row r="749" spans="3:14" x14ac:dyDescent="0.2">
      <c r="C749" s="324"/>
      <c r="D749" s="324"/>
      <c r="E749" s="324"/>
      <c r="F749" s="324"/>
      <c r="G749" s="324"/>
      <c r="H749" s="324"/>
      <c r="I749" s="324"/>
      <c r="J749" s="324"/>
      <c r="K749" s="324"/>
      <c r="L749" s="324"/>
      <c r="M749" s="324"/>
      <c r="N749" s="324"/>
    </row>
    <row r="750" spans="3:14" x14ac:dyDescent="0.2">
      <c r="C750" s="324"/>
      <c r="D750" s="324"/>
      <c r="E750" s="324"/>
      <c r="F750" s="324"/>
      <c r="G750" s="324"/>
      <c r="H750" s="324"/>
      <c r="I750" s="324"/>
      <c r="J750" s="324"/>
      <c r="K750" s="324"/>
      <c r="L750" s="324"/>
      <c r="M750" s="324"/>
      <c r="N750" s="324"/>
    </row>
    <row r="751" spans="3:14" x14ac:dyDescent="0.2">
      <c r="C751" s="324"/>
      <c r="D751" s="324"/>
      <c r="E751" s="324"/>
      <c r="F751" s="324"/>
      <c r="G751" s="324"/>
      <c r="H751" s="324"/>
      <c r="I751" s="324"/>
      <c r="J751" s="324"/>
      <c r="K751" s="324"/>
      <c r="L751" s="324"/>
      <c r="M751" s="324"/>
      <c r="N751" s="324"/>
    </row>
    <row r="752" spans="3:14" x14ac:dyDescent="0.2">
      <c r="C752" s="324"/>
      <c r="D752" s="324"/>
      <c r="E752" s="324"/>
      <c r="F752" s="324"/>
      <c r="G752" s="324"/>
      <c r="H752" s="324"/>
      <c r="I752" s="324"/>
      <c r="J752" s="324"/>
      <c r="K752" s="324"/>
      <c r="L752" s="324"/>
      <c r="M752" s="324"/>
      <c r="N752" s="324"/>
    </row>
    <row r="753" spans="3:14" x14ac:dyDescent="0.2">
      <c r="C753" s="324"/>
      <c r="D753" s="324"/>
      <c r="E753" s="324"/>
      <c r="F753" s="324"/>
      <c r="G753" s="324"/>
      <c r="H753" s="324"/>
      <c r="I753" s="324"/>
      <c r="J753" s="324"/>
      <c r="K753" s="324"/>
      <c r="L753" s="324"/>
      <c r="M753" s="324"/>
      <c r="N753" s="324"/>
    </row>
    <row r="754" spans="3:14" x14ac:dyDescent="0.2">
      <c r="C754" s="324"/>
      <c r="D754" s="324"/>
      <c r="E754" s="324"/>
      <c r="F754" s="324"/>
      <c r="G754" s="324"/>
      <c r="H754" s="324"/>
      <c r="I754" s="324"/>
      <c r="J754" s="324"/>
      <c r="K754" s="324"/>
      <c r="L754" s="324"/>
      <c r="M754" s="324"/>
      <c r="N754" s="324"/>
    </row>
    <row r="755" spans="3:14" x14ac:dyDescent="0.2">
      <c r="C755" s="324"/>
      <c r="D755" s="324"/>
      <c r="E755" s="324"/>
      <c r="F755" s="324"/>
      <c r="G755" s="324"/>
      <c r="H755" s="324"/>
      <c r="I755" s="324"/>
      <c r="J755" s="324"/>
      <c r="K755" s="324"/>
      <c r="L755" s="324"/>
      <c r="M755" s="324"/>
      <c r="N755" s="324"/>
    </row>
    <row r="756" spans="3:14" x14ac:dyDescent="0.2">
      <c r="C756" s="324"/>
      <c r="D756" s="324"/>
      <c r="E756" s="324"/>
      <c r="F756" s="324"/>
      <c r="G756" s="324"/>
      <c r="H756" s="324"/>
      <c r="I756" s="324"/>
      <c r="J756" s="324"/>
      <c r="K756" s="324"/>
      <c r="L756" s="324"/>
      <c r="M756" s="324"/>
      <c r="N756" s="324"/>
    </row>
    <row r="757" spans="3:14" x14ac:dyDescent="0.2">
      <c r="C757" s="324"/>
      <c r="D757" s="324"/>
      <c r="E757" s="324"/>
      <c r="F757" s="324"/>
      <c r="G757" s="324"/>
      <c r="H757" s="324"/>
      <c r="I757" s="324"/>
      <c r="J757" s="324"/>
      <c r="K757" s="324"/>
      <c r="L757" s="324"/>
      <c r="M757" s="324"/>
      <c r="N757" s="324"/>
    </row>
    <row r="758" spans="3:14" x14ac:dyDescent="0.2">
      <c r="C758" s="324"/>
      <c r="D758" s="324"/>
      <c r="E758" s="324"/>
      <c r="F758" s="324"/>
      <c r="G758" s="324"/>
      <c r="H758" s="324"/>
      <c r="I758" s="324"/>
      <c r="J758" s="324"/>
      <c r="K758" s="324"/>
      <c r="L758" s="324"/>
      <c r="M758" s="324"/>
      <c r="N758" s="324"/>
    </row>
    <row r="759" spans="3:14" x14ac:dyDescent="0.2">
      <c r="C759" s="324"/>
      <c r="D759" s="324"/>
      <c r="E759" s="324"/>
      <c r="F759" s="324"/>
      <c r="G759" s="324"/>
      <c r="H759" s="324"/>
      <c r="I759" s="324"/>
      <c r="J759" s="324"/>
      <c r="K759" s="324"/>
      <c r="L759" s="324"/>
      <c r="M759" s="324"/>
      <c r="N759" s="324"/>
    </row>
    <row r="760" spans="3:14" x14ac:dyDescent="0.2">
      <c r="C760" s="324"/>
      <c r="D760" s="324"/>
      <c r="E760" s="324"/>
      <c r="F760" s="324"/>
      <c r="G760" s="324"/>
      <c r="H760" s="324"/>
      <c r="I760" s="324"/>
      <c r="J760" s="324"/>
      <c r="K760" s="324"/>
      <c r="L760" s="324"/>
      <c r="M760" s="324"/>
      <c r="N760" s="324"/>
    </row>
    <row r="761" spans="3:14" x14ac:dyDescent="0.2">
      <c r="C761" s="324"/>
      <c r="D761" s="324"/>
      <c r="E761" s="324"/>
      <c r="F761" s="324"/>
      <c r="G761" s="324"/>
      <c r="H761" s="324"/>
      <c r="I761" s="324"/>
      <c r="J761" s="324"/>
      <c r="K761" s="324"/>
      <c r="L761" s="324"/>
      <c r="M761" s="324"/>
      <c r="N761" s="324"/>
    </row>
    <row r="762" spans="3:14" x14ac:dyDescent="0.2">
      <c r="C762" s="324"/>
      <c r="D762" s="324"/>
      <c r="E762" s="324"/>
      <c r="F762" s="324"/>
      <c r="G762" s="324"/>
      <c r="H762" s="324"/>
      <c r="I762" s="324"/>
      <c r="J762" s="324"/>
      <c r="K762" s="324"/>
      <c r="L762" s="324"/>
      <c r="M762" s="324"/>
      <c r="N762" s="324"/>
    </row>
    <row r="763" spans="3:14" x14ac:dyDescent="0.2">
      <c r="C763" s="324"/>
      <c r="D763" s="324"/>
      <c r="E763" s="324"/>
      <c r="F763" s="324"/>
      <c r="G763" s="324"/>
      <c r="H763" s="324"/>
      <c r="I763" s="324"/>
      <c r="J763" s="324"/>
      <c r="K763" s="324"/>
      <c r="L763" s="324"/>
      <c r="M763" s="324"/>
      <c r="N763" s="324"/>
    </row>
    <row r="764" spans="3:14" x14ac:dyDescent="0.2">
      <c r="C764" s="324"/>
      <c r="D764" s="324"/>
      <c r="E764" s="324"/>
      <c r="F764" s="324"/>
      <c r="G764" s="324"/>
      <c r="H764" s="324"/>
      <c r="I764" s="324"/>
      <c r="J764" s="324"/>
      <c r="K764" s="324"/>
      <c r="L764" s="324"/>
      <c r="M764" s="324"/>
      <c r="N764" s="324"/>
    </row>
    <row r="765" spans="3:14" x14ac:dyDescent="0.2">
      <c r="C765" s="324"/>
      <c r="D765" s="324"/>
      <c r="E765" s="324"/>
      <c r="F765" s="324"/>
      <c r="G765" s="324"/>
      <c r="H765" s="324"/>
      <c r="I765" s="324"/>
      <c r="J765" s="324"/>
      <c r="K765" s="324"/>
      <c r="L765" s="324"/>
      <c r="M765" s="324"/>
      <c r="N765" s="324"/>
    </row>
    <row r="766" spans="3:14" x14ac:dyDescent="0.2">
      <c r="C766" s="324"/>
      <c r="D766" s="324"/>
      <c r="E766" s="324"/>
      <c r="F766" s="324"/>
      <c r="G766" s="324"/>
      <c r="H766" s="324"/>
      <c r="I766" s="324"/>
      <c r="J766" s="324"/>
      <c r="K766" s="324"/>
      <c r="L766" s="324"/>
      <c r="M766" s="324"/>
      <c r="N766" s="324"/>
    </row>
    <row r="767" spans="3:14" x14ac:dyDescent="0.2">
      <c r="C767" s="324"/>
      <c r="D767" s="324"/>
      <c r="E767" s="324"/>
      <c r="F767" s="324"/>
      <c r="G767" s="324"/>
      <c r="H767" s="324"/>
      <c r="I767" s="324"/>
      <c r="J767" s="324"/>
      <c r="K767" s="324"/>
      <c r="L767" s="324"/>
      <c r="M767" s="324"/>
      <c r="N767" s="324"/>
    </row>
    <row r="768" spans="3:14" x14ac:dyDescent="0.2">
      <c r="C768" s="324"/>
      <c r="D768" s="324"/>
      <c r="E768" s="324"/>
      <c r="F768" s="324"/>
      <c r="G768" s="324"/>
      <c r="H768" s="324"/>
      <c r="I768" s="324"/>
      <c r="J768" s="324"/>
      <c r="K768" s="324"/>
      <c r="L768" s="324"/>
      <c r="M768" s="324"/>
      <c r="N768" s="324"/>
    </row>
    <row r="769" spans="3:14" x14ac:dyDescent="0.2">
      <c r="C769" s="324"/>
      <c r="D769" s="324"/>
      <c r="E769" s="324"/>
      <c r="F769" s="324"/>
      <c r="G769" s="324"/>
      <c r="H769" s="324"/>
      <c r="I769" s="324"/>
      <c r="J769" s="324"/>
      <c r="K769" s="324"/>
      <c r="L769" s="324"/>
      <c r="M769" s="324"/>
      <c r="N769" s="324"/>
    </row>
    <row r="770" spans="3:14" x14ac:dyDescent="0.2">
      <c r="C770" s="324"/>
      <c r="D770" s="324"/>
      <c r="E770" s="324"/>
      <c r="F770" s="324"/>
      <c r="G770" s="324"/>
      <c r="H770" s="324"/>
      <c r="I770" s="324"/>
      <c r="J770" s="324"/>
      <c r="K770" s="324"/>
      <c r="L770" s="324"/>
      <c r="M770" s="324"/>
      <c r="N770" s="324"/>
    </row>
    <row r="771" spans="3:14" x14ac:dyDescent="0.2">
      <c r="C771" s="324"/>
      <c r="D771" s="324"/>
      <c r="E771" s="324"/>
      <c r="F771" s="324"/>
      <c r="G771" s="324"/>
      <c r="H771" s="324"/>
      <c r="I771" s="324"/>
      <c r="J771" s="324"/>
      <c r="K771" s="324"/>
      <c r="L771" s="324"/>
      <c r="M771" s="324"/>
      <c r="N771" s="324"/>
    </row>
    <row r="772" spans="3:14" x14ac:dyDescent="0.2">
      <c r="C772" s="324"/>
      <c r="D772" s="324"/>
      <c r="E772" s="324"/>
      <c r="F772" s="324"/>
      <c r="G772" s="324"/>
      <c r="H772" s="324"/>
      <c r="I772" s="324"/>
      <c r="J772" s="324"/>
      <c r="K772" s="324"/>
      <c r="L772" s="324"/>
      <c r="M772" s="324"/>
      <c r="N772" s="324"/>
    </row>
    <row r="773" spans="3:14" x14ac:dyDescent="0.2">
      <c r="C773" s="324"/>
      <c r="D773" s="324"/>
      <c r="E773" s="324"/>
      <c r="F773" s="324"/>
      <c r="G773" s="324"/>
      <c r="H773" s="324"/>
      <c r="I773" s="324"/>
      <c r="J773" s="324"/>
      <c r="K773" s="324"/>
      <c r="L773" s="324"/>
      <c r="M773" s="324"/>
      <c r="N773" s="324"/>
    </row>
    <row r="774" spans="3:14" x14ac:dyDescent="0.2">
      <c r="C774" s="324"/>
      <c r="D774" s="324"/>
      <c r="E774" s="324"/>
      <c r="F774" s="324"/>
      <c r="G774" s="324"/>
      <c r="H774" s="324"/>
      <c r="I774" s="324"/>
      <c r="J774" s="324"/>
      <c r="K774" s="324"/>
      <c r="L774" s="324"/>
      <c r="M774" s="324"/>
      <c r="N774" s="324"/>
    </row>
    <row r="775" spans="3:14" x14ac:dyDescent="0.2">
      <c r="C775" s="324"/>
      <c r="D775" s="324"/>
      <c r="E775" s="324"/>
      <c r="F775" s="324"/>
      <c r="G775" s="324"/>
      <c r="H775" s="324"/>
      <c r="I775" s="324"/>
      <c r="J775" s="324"/>
      <c r="K775" s="324"/>
      <c r="L775" s="324"/>
      <c r="M775" s="324"/>
      <c r="N775" s="324"/>
    </row>
    <row r="776" spans="3:14" x14ac:dyDescent="0.2">
      <c r="C776" s="324"/>
      <c r="D776" s="324"/>
      <c r="E776" s="324"/>
      <c r="F776" s="324"/>
      <c r="G776" s="324"/>
      <c r="H776" s="324"/>
      <c r="I776" s="324"/>
      <c r="J776" s="324"/>
      <c r="K776" s="324"/>
      <c r="L776" s="324"/>
      <c r="M776" s="324"/>
      <c r="N776" s="324"/>
    </row>
    <row r="777" spans="3:14" x14ac:dyDescent="0.2">
      <c r="C777" s="324"/>
      <c r="D777" s="324"/>
      <c r="E777" s="324"/>
      <c r="F777" s="324"/>
      <c r="G777" s="324"/>
      <c r="H777" s="324"/>
      <c r="I777" s="324"/>
      <c r="J777" s="324"/>
      <c r="K777" s="324"/>
      <c r="L777" s="324"/>
      <c r="M777" s="324"/>
      <c r="N777" s="324"/>
    </row>
    <row r="778" spans="3:14" x14ac:dyDescent="0.2">
      <c r="C778" s="324"/>
      <c r="D778" s="324"/>
      <c r="E778" s="324"/>
      <c r="F778" s="324"/>
      <c r="G778" s="324"/>
      <c r="H778" s="324"/>
      <c r="I778" s="324"/>
      <c r="J778" s="324"/>
      <c r="K778" s="324"/>
      <c r="L778" s="324"/>
      <c r="M778" s="324"/>
      <c r="N778" s="324"/>
    </row>
    <row r="779" spans="3:14" x14ac:dyDescent="0.2">
      <c r="C779" s="324"/>
      <c r="D779" s="324"/>
      <c r="E779" s="324"/>
      <c r="F779" s="324"/>
      <c r="G779" s="324"/>
      <c r="H779" s="324"/>
      <c r="I779" s="324"/>
      <c r="J779" s="324"/>
      <c r="K779" s="324"/>
      <c r="L779" s="324"/>
      <c r="M779" s="324"/>
      <c r="N779" s="324"/>
    </row>
    <row r="780" spans="3:14" x14ac:dyDescent="0.2">
      <c r="C780" s="324"/>
      <c r="D780" s="324"/>
      <c r="E780" s="324"/>
      <c r="F780" s="324"/>
      <c r="G780" s="324"/>
      <c r="H780" s="324"/>
      <c r="I780" s="324"/>
      <c r="J780" s="324"/>
      <c r="K780" s="324"/>
      <c r="L780" s="324"/>
      <c r="M780" s="324"/>
      <c r="N780" s="324"/>
    </row>
    <row r="781" spans="3:14" x14ac:dyDescent="0.2">
      <c r="C781" s="324"/>
      <c r="D781" s="324"/>
      <c r="E781" s="324"/>
      <c r="F781" s="324"/>
      <c r="G781" s="324"/>
      <c r="H781" s="324"/>
      <c r="I781" s="324"/>
      <c r="J781" s="324"/>
      <c r="K781" s="324"/>
      <c r="L781" s="324"/>
      <c r="M781" s="324"/>
      <c r="N781" s="324"/>
    </row>
    <row r="782" spans="3:14" x14ac:dyDescent="0.2">
      <c r="C782" s="324"/>
      <c r="D782" s="324"/>
      <c r="E782" s="324"/>
      <c r="F782" s="324"/>
      <c r="G782" s="324"/>
      <c r="H782" s="324"/>
      <c r="I782" s="324"/>
      <c r="J782" s="324"/>
      <c r="K782" s="324"/>
      <c r="L782" s="324"/>
      <c r="M782" s="324"/>
      <c r="N782" s="324"/>
    </row>
    <row r="783" spans="3:14" x14ac:dyDescent="0.2">
      <c r="C783" s="324"/>
      <c r="D783" s="324"/>
      <c r="E783" s="324"/>
      <c r="F783" s="324"/>
      <c r="G783" s="324"/>
      <c r="H783" s="324"/>
      <c r="I783" s="324"/>
      <c r="J783" s="324"/>
      <c r="K783" s="324"/>
      <c r="L783" s="324"/>
      <c r="M783" s="324"/>
      <c r="N783" s="324"/>
    </row>
    <row r="784" spans="3:14" x14ac:dyDescent="0.2">
      <c r="C784" s="324"/>
      <c r="D784" s="324"/>
      <c r="E784" s="324"/>
      <c r="F784" s="324"/>
      <c r="G784" s="324"/>
      <c r="H784" s="324"/>
      <c r="I784" s="324"/>
      <c r="J784" s="324"/>
      <c r="K784" s="324"/>
      <c r="L784" s="324"/>
      <c r="M784" s="324"/>
      <c r="N784" s="324"/>
    </row>
    <row r="785" spans="3:14" x14ac:dyDescent="0.2">
      <c r="C785" s="324"/>
      <c r="D785" s="324"/>
      <c r="E785" s="324"/>
      <c r="F785" s="324"/>
      <c r="G785" s="324"/>
      <c r="H785" s="324"/>
      <c r="I785" s="324"/>
      <c r="J785" s="324"/>
      <c r="K785" s="324"/>
      <c r="L785" s="324"/>
      <c r="M785" s="324"/>
      <c r="N785" s="324"/>
    </row>
    <row r="786" spans="3:14" x14ac:dyDescent="0.2">
      <c r="C786" s="324"/>
      <c r="D786" s="324"/>
      <c r="E786" s="324"/>
      <c r="F786" s="324"/>
      <c r="G786" s="324"/>
      <c r="H786" s="324"/>
      <c r="I786" s="324"/>
      <c r="J786" s="324"/>
      <c r="K786" s="324"/>
      <c r="L786" s="324"/>
      <c r="M786" s="324"/>
      <c r="N786" s="324"/>
    </row>
    <row r="787" spans="3:14" x14ac:dyDescent="0.2">
      <c r="C787" s="324"/>
      <c r="D787" s="324"/>
      <c r="E787" s="324"/>
      <c r="F787" s="324"/>
      <c r="G787" s="324"/>
      <c r="H787" s="324"/>
      <c r="I787" s="324"/>
      <c r="J787" s="324"/>
      <c r="K787" s="324"/>
      <c r="L787" s="324"/>
      <c r="M787" s="324"/>
      <c r="N787" s="324"/>
    </row>
    <row r="788" spans="3:14" x14ac:dyDescent="0.2">
      <c r="C788" s="324"/>
      <c r="D788" s="324"/>
      <c r="E788" s="324"/>
      <c r="F788" s="324"/>
      <c r="G788" s="324"/>
      <c r="H788" s="324"/>
      <c r="I788" s="324"/>
      <c r="J788" s="324"/>
      <c r="K788" s="324"/>
      <c r="L788" s="324"/>
      <c r="M788" s="324"/>
      <c r="N788" s="324"/>
    </row>
    <row r="789" spans="3:14" x14ac:dyDescent="0.2">
      <c r="C789" s="324"/>
      <c r="D789" s="324"/>
      <c r="E789" s="324"/>
      <c r="F789" s="324"/>
      <c r="G789" s="324"/>
      <c r="H789" s="324"/>
      <c r="I789" s="324"/>
      <c r="J789" s="324"/>
      <c r="K789" s="324"/>
      <c r="L789" s="324"/>
      <c r="M789" s="324"/>
      <c r="N789" s="324"/>
    </row>
    <row r="790" spans="3:14" x14ac:dyDescent="0.2">
      <c r="C790" s="324"/>
      <c r="D790" s="324"/>
      <c r="E790" s="324"/>
      <c r="F790" s="324"/>
      <c r="G790" s="324"/>
      <c r="H790" s="324"/>
      <c r="I790" s="324"/>
      <c r="J790" s="324"/>
      <c r="K790" s="324"/>
      <c r="L790" s="324"/>
      <c r="M790" s="324"/>
      <c r="N790" s="324"/>
    </row>
    <row r="791" spans="3:14" x14ac:dyDescent="0.2">
      <c r="C791" s="324"/>
      <c r="D791" s="324"/>
      <c r="E791" s="324"/>
      <c r="F791" s="324"/>
      <c r="G791" s="324"/>
      <c r="H791" s="324"/>
      <c r="I791" s="324"/>
      <c r="J791" s="324"/>
      <c r="K791" s="324"/>
      <c r="L791" s="324"/>
      <c r="M791" s="324"/>
      <c r="N791" s="324"/>
    </row>
    <row r="792" spans="3:14" x14ac:dyDescent="0.2">
      <c r="C792" s="324"/>
      <c r="D792" s="324"/>
      <c r="E792" s="324"/>
      <c r="F792" s="324"/>
      <c r="G792" s="324"/>
      <c r="H792" s="324"/>
      <c r="I792" s="324"/>
      <c r="J792" s="324"/>
      <c r="K792" s="324"/>
      <c r="L792" s="324"/>
      <c r="M792" s="324"/>
      <c r="N792" s="324"/>
    </row>
    <row r="793" spans="3:14" x14ac:dyDescent="0.2">
      <c r="C793" s="324"/>
      <c r="D793" s="324"/>
      <c r="E793" s="324"/>
      <c r="F793" s="324"/>
      <c r="G793" s="324"/>
      <c r="H793" s="324"/>
      <c r="I793" s="324"/>
      <c r="J793" s="324"/>
      <c r="K793" s="324"/>
      <c r="L793" s="324"/>
      <c r="M793" s="324"/>
      <c r="N793" s="324"/>
    </row>
    <row r="794" spans="3:14" x14ac:dyDescent="0.2">
      <c r="C794" s="324"/>
      <c r="D794" s="324"/>
      <c r="E794" s="324"/>
      <c r="F794" s="324"/>
      <c r="G794" s="324"/>
      <c r="H794" s="324"/>
      <c r="I794" s="324"/>
      <c r="J794" s="324"/>
      <c r="K794" s="324"/>
      <c r="L794" s="324"/>
      <c r="M794" s="324"/>
      <c r="N794" s="324"/>
    </row>
    <row r="795" spans="3:14" x14ac:dyDescent="0.2">
      <c r="C795" s="324"/>
      <c r="D795" s="324"/>
      <c r="E795" s="324"/>
      <c r="F795" s="324"/>
      <c r="G795" s="324"/>
      <c r="H795" s="324"/>
      <c r="I795" s="324"/>
      <c r="J795" s="324"/>
      <c r="K795" s="324"/>
      <c r="L795" s="324"/>
      <c r="M795" s="324"/>
      <c r="N795" s="324"/>
    </row>
    <row r="796" spans="3:14" x14ac:dyDescent="0.2">
      <c r="C796" s="324"/>
      <c r="D796" s="324"/>
      <c r="E796" s="324"/>
      <c r="F796" s="324"/>
      <c r="G796" s="324"/>
      <c r="H796" s="324"/>
      <c r="I796" s="324"/>
      <c r="J796" s="324"/>
      <c r="K796" s="324"/>
      <c r="L796" s="324"/>
      <c r="M796" s="324"/>
      <c r="N796" s="324"/>
    </row>
    <row r="797" spans="3:14" x14ac:dyDescent="0.2">
      <c r="C797" s="324"/>
      <c r="D797" s="324"/>
      <c r="E797" s="324"/>
      <c r="F797" s="324"/>
      <c r="G797" s="324"/>
      <c r="H797" s="324"/>
      <c r="I797" s="324"/>
      <c r="J797" s="324"/>
      <c r="K797" s="324"/>
      <c r="L797" s="324"/>
      <c r="M797" s="324"/>
      <c r="N797" s="324"/>
    </row>
    <row r="798" spans="3:14" x14ac:dyDescent="0.2">
      <c r="C798" s="324"/>
      <c r="D798" s="324"/>
      <c r="E798" s="324"/>
      <c r="F798" s="324"/>
      <c r="G798" s="324"/>
      <c r="H798" s="324"/>
      <c r="I798" s="324"/>
      <c r="J798" s="324"/>
      <c r="K798" s="324"/>
      <c r="L798" s="324"/>
      <c r="M798" s="324"/>
      <c r="N798" s="324"/>
    </row>
    <row r="799" spans="3:14" x14ac:dyDescent="0.2">
      <c r="C799" s="324"/>
      <c r="D799" s="324"/>
      <c r="E799" s="324"/>
      <c r="F799" s="324"/>
      <c r="G799" s="324"/>
      <c r="H799" s="324"/>
      <c r="I799" s="324"/>
      <c r="J799" s="324"/>
      <c r="K799" s="324"/>
      <c r="L799" s="324"/>
      <c r="M799" s="324"/>
      <c r="N799" s="324"/>
    </row>
    <row r="800" spans="3:14" x14ac:dyDescent="0.2">
      <c r="C800" s="324"/>
      <c r="D800" s="324"/>
      <c r="E800" s="324"/>
      <c r="F800" s="324"/>
      <c r="G800" s="324"/>
      <c r="H800" s="324"/>
      <c r="I800" s="324"/>
      <c r="J800" s="324"/>
      <c r="K800" s="324"/>
      <c r="L800" s="324"/>
      <c r="M800" s="324"/>
      <c r="N800" s="324"/>
    </row>
    <row r="801" spans="3:14" x14ac:dyDescent="0.2">
      <c r="C801" s="324"/>
      <c r="D801" s="324"/>
      <c r="E801" s="324"/>
      <c r="F801" s="324"/>
      <c r="G801" s="324"/>
      <c r="H801" s="324"/>
      <c r="I801" s="324"/>
      <c r="J801" s="324"/>
      <c r="K801" s="324"/>
      <c r="L801" s="324"/>
      <c r="M801" s="324"/>
      <c r="N801" s="324"/>
    </row>
    <row r="802" spans="3:14" x14ac:dyDescent="0.2">
      <c r="C802" s="324"/>
      <c r="D802" s="324"/>
      <c r="E802" s="324"/>
      <c r="F802" s="324"/>
      <c r="G802" s="324"/>
      <c r="H802" s="324"/>
      <c r="I802" s="324"/>
      <c r="J802" s="324"/>
      <c r="K802" s="324"/>
      <c r="L802" s="324"/>
      <c r="M802" s="324"/>
      <c r="N802" s="324"/>
    </row>
    <row r="803" spans="3:14" x14ac:dyDescent="0.2">
      <c r="C803" s="324"/>
      <c r="D803" s="324"/>
      <c r="E803" s="324"/>
      <c r="F803" s="324"/>
      <c r="G803" s="324"/>
      <c r="H803" s="324"/>
      <c r="I803" s="324"/>
      <c r="J803" s="324"/>
      <c r="K803" s="324"/>
      <c r="L803" s="324"/>
      <c r="M803" s="324"/>
      <c r="N803" s="324"/>
    </row>
    <row r="804" spans="3:14" x14ac:dyDescent="0.2">
      <c r="C804" s="324"/>
      <c r="D804" s="324"/>
      <c r="E804" s="324"/>
      <c r="F804" s="324"/>
      <c r="G804" s="324"/>
      <c r="H804" s="324"/>
      <c r="I804" s="324"/>
      <c r="J804" s="324"/>
      <c r="K804" s="324"/>
      <c r="L804" s="324"/>
      <c r="M804" s="324"/>
      <c r="N804" s="324"/>
    </row>
    <row r="805" spans="3:14" x14ac:dyDescent="0.2">
      <c r="C805" s="324"/>
      <c r="D805" s="324"/>
      <c r="E805" s="324"/>
      <c r="F805" s="324"/>
      <c r="G805" s="324"/>
      <c r="H805" s="324"/>
      <c r="I805" s="324"/>
      <c r="J805" s="324"/>
      <c r="K805" s="324"/>
      <c r="L805" s="324"/>
      <c r="M805" s="324"/>
      <c r="N805" s="324"/>
    </row>
    <row r="806" spans="3:14" x14ac:dyDescent="0.2">
      <c r="C806" s="324"/>
      <c r="D806" s="324"/>
      <c r="E806" s="324"/>
      <c r="F806" s="324"/>
      <c r="G806" s="324"/>
      <c r="H806" s="324"/>
      <c r="I806" s="324"/>
      <c r="J806" s="324"/>
      <c r="K806" s="324"/>
      <c r="L806" s="324"/>
      <c r="M806" s="324"/>
      <c r="N806" s="324"/>
    </row>
    <row r="807" spans="3:14" x14ac:dyDescent="0.2">
      <c r="C807" s="324"/>
      <c r="D807" s="324"/>
      <c r="E807" s="324"/>
      <c r="F807" s="324"/>
      <c r="G807" s="324"/>
      <c r="H807" s="324"/>
      <c r="I807" s="324"/>
      <c r="J807" s="324"/>
      <c r="K807" s="324"/>
      <c r="L807" s="324"/>
      <c r="M807" s="324"/>
      <c r="N807" s="324"/>
    </row>
    <row r="808" spans="3:14" x14ac:dyDescent="0.2">
      <c r="C808" s="324"/>
      <c r="D808" s="324"/>
      <c r="E808" s="324"/>
      <c r="F808" s="324"/>
      <c r="G808" s="324"/>
      <c r="H808" s="324"/>
      <c r="I808" s="324"/>
      <c r="J808" s="324"/>
      <c r="K808" s="324"/>
      <c r="L808" s="324"/>
      <c r="M808" s="324"/>
      <c r="N808" s="324"/>
    </row>
    <row r="809" spans="3:14" x14ac:dyDescent="0.2">
      <c r="C809" s="324"/>
      <c r="D809" s="324"/>
      <c r="E809" s="324"/>
      <c r="F809" s="324"/>
      <c r="G809" s="324"/>
      <c r="H809" s="324"/>
      <c r="I809" s="324"/>
      <c r="J809" s="324"/>
      <c r="K809" s="324"/>
      <c r="L809" s="324"/>
      <c r="M809" s="324"/>
      <c r="N809" s="324"/>
    </row>
    <row r="810" spans="3:14" x14ac:dyDescent="0.2">
      <c r="C810" s="324"/>
      <c r="D810" s="324"/>
      <c r="E810" s="324"/>
      <c r="F810" s="324"/>
      <c r="G810" s="324"/>
      <c r="H810" s="324"/>
      <c r="I810" s="324"/>
      <c r="J810" s="324"/>
      <c r="K810" s="324"/>
      <c r="L810" s="324"/>
      <c r="M810" s="324"/>
      <c r="N810" s="324"/>
    </row>
    <row r="811" spans="3:14" x14ac:dyDescent="0.2">
      <c r="C811" s="324"/>
      <c r="D811" s="324"/>
      <c r="E811" s="324"/>
      <c r="F811" s="324"/>
      <c r="G811" s="324"/>
      <c r="H811" s="324"/>
      <c r="I811" s="324"/>
      <c r="J811" s="324"/>
      <c r="K811" s="324"/>
      <c r="L811" s="324"/>
      <c r="M811" s="324"/>
      <c r="N811" s="324"/>
    </row>
    <row r="812" spans="3:14" x14ac:dyDescent="0.2">
      <c r="C812" s="324"/>
      <c r="D812" s="324"/>
      <c r="E812" s="324"/>
      <c r="F812" s="324"/>
      <c r="G812" s="324"/>
      <c r="H812" s="324"/>
      <c r="I812" s="324"/>
      <c r="J812" s="324"/>
      <c r="K812" s="324"/>
      <c r="L812" s="324"/>
      <c r="M812" s="324"/>
      <c r="N812" s="324"/>
    </row>
    <row r="813" spans="3:14" x14ac:dyDescent="0.2">
      <c r="C813" s="324"/>
      <c r="D813" s="324"/>
      <c r="E813" s="324"/>
      <c r="F813" s="324"/>
      <c r="G813" s="324"/>
      <c r="H813" s="324"/>
      <c r="I813" s="324"/>
      <c r="J813" s="324"/>
      <c r="K813" s="324"/>
      <c r="L813" s="324"/>
      <c r="M813" s="324"/>
      <c r="N813" s="324"/>
    </row>
    <row r="814" spans="3:14" x14ac:dyDescent="0.2">
      <c r="C814" s="324"/>
      <c r="D814" s="324"/>
      <c r="E814" s="324"/>
      <c r="F814" s="324"/>
      <c r="G814" s="324"/>
      <c r="H814" s="324"/>
      <c r="I814" s="324"/>
      <c r="J814" s="324"/>
      <c r="K814" s="324"/>
      <c r="L814" s="324"/>
      <c r="M814" s="324"/>
      <c r="N814" s="324"/>
    </row>
    <row r="815" spans="3:14" x14ac:dyDescent="0.2">
      <c r="C815" s="324"/>
      <c r="D815" s="324"/>
      <c r="E815" s="324"/>
      <c r="F815" s="324"/>
      <c r="G815" s="324"/>
      <c r="H815" s="324"/>
      <c r="I815" s="324"/>
      <c r="J815" s="324"/>
      <c r="K815" s="324"/>
      <c r="L815" s="324"/>
      <c r="M815" s="324"/>
      <c r="N815" s="324"/>
    </row>
    <row r="816" spans="3:14" x14ac:dyDescent="0.2">
      <c r="C816" s="324"/>
      <c r="D816" s="324"/>
      <c r="E816" s="324"/>
      <c r="F816" s="324"/>
      <c r="G816" s="324"/>
      <c r="H816" s="324"/>
      <c r="I816" s="324"/>
      <c r="J816" s="324"/>
      <c r="K816" s="324"/>
      <c r="L816" s="324"/>
      <c r="M816" s="324"/>
      <c r="N816" s="324"/>
    </row>
    <row r="817" spans="3:14" x14ac:dyDescent="0.2">
      <c r="C817" s="324"/>
      <c r="D817" s="324"/>
      <c r="E817" s="324"/>
      <c r="F817" s="324"/>
      <c r="G817" s="324"/>
      <c r="H817" s="324"/>
      <c r="I817" s="324"/>
      <c r="J817" s="324"/>
      <c r="K817" s="324"/>
      <c r="L817" s="324"/>
      <c r="M817" s="324"/>
      <c r="N817" s="324"/>
    </row>
    <row r="818" spans="3:14" x14ac:dyDescent="0.2">
      <c r="C818" s="324"/>
      <c r="D818" s="324"/>
      <c r="E818" s="324"/>
      <c r="F818" s="324"/>
      <c r="G818" s="324"/>
      <c r="H818" s="324"/>
      <c r="I818" s="324"/>
      <c r="J818" s="324"/>
      <c r="K818" s="324"/>
      <c r="L818" s="324"/>
      <c r="M818" s="324"/>
      <c r="N818" s="324"/>
    </row>
    <row r="819" spans="3:14" x14ac:dyDescent="0.2">
      <c r="C819" s="324"/>
      <c r="D819" s="324"/>
      <c r="E819" s="324"/>
      <c r="F819" s="324"/>
      <c r="G819" s="324"/>
      <c r="H819" s="324"/>
      <c r="I819" s="324"/>
      <c r="J819" s="324"/>
      <c r="K819" s="324"/>
      <c r="L819" s="324"/>
      <c r="M819" s="324"/>
      <c r="N819" s="324"/>
    </row>
    <row r="820" spans="3:14" x14ac:dyDescent="0.2">
      <c r="C820" s="324"/>
      <c r="D820" s="324"/>
      <c r="E820" s="324"/>
      <c r="F820" s="324"/>
      <c r="G820" s="324"/>
      <c r="H820" s="324"/>
      <c r="I820" s="324"/>
      <c r="J820" s="324"/>
      <c r="K820" s="324"/>
      <c r="L820" s="324"/>
      <c r="M820" s="324"/>
      <c r="N820" s="324"/>
    </row>
    <row r="821" spans="3:14" x14ac:dyDescent="0.2">
      <c r="C821" s="324"/>
      <c r="D821" s="324"/>
      <c r="E821" s="324"/>
      <c r="F821" s="324"/>
      <c r="G821" s="324"/>
      <c r="H821" s="324"/>
      <c r="I821" s="324"/>
      <c r="J821" s="324"/>
      <c r="K821" s="324"/>
      <c r="L821" s="324"/>
      <c r="M821" s="324"/>
      <c r="N821" s="324"/>
    </row>
    <row r="822" spans="3:14" x14ac:dyDescent="0.2">
      <c r="C822" s="324"/>
      <c r="D822" s="324"/>
      <c r="E822" s="324"/>
      <c r="F822" s="324"/>
      <c r="G822" s="324"/>
      <c r="H822" s="324"/>
      <c r="I822" s="324"/>
      <c r="J822" s="324"/>
      <c r="K822" s="324"/>
      <c r="L822" s="324"/>
      <c r="M822" s="324"/>
      <c r="N822" s="324"/>
    </row>
    <row r="823" spans="3:14" x14ac:dyDescent="0.2">
      <c r="C823" s="324"/>
      <c r="D823" s="324"/>
      <c r="E823" s="324"/>
      <c r="F823" s="324"/>
      <c r="G823" s="324"/>
      <c r="H823" s="324"/>
      <c r="I823" s="324"/>
      <c r="J823" s="324"/>
      <c r="K823" s="324"/>
      <c r="L823" s="324"/>
      <c r="M823" s="324"/>
      <c r="N823" s="324"/>
    </row>
    <row r="824" spans="3:14" x14ac:dyDescent="0.2">
      <c r="C824" s="324"/>
      <c r="D824" s="324"/>
      <c r="E824" s="324"/>
      <c r="F824" s="324"/>
      <c r="G824" s="324"/>
      <c r="H824" s="324"/>
      <c r="I824" s="324"/>
      <c r="J824" s="324"/>
      <c r="K824" s="324"/>
      <c r="L824" s="324"/>
      <c r="M824" s="324"/>
      <c r="N824" s="324"/>
    </row>
    <row r="825" spans="3:14" x14ac:dyDescent="0.2">
      <c r="C825" s="324"/>
      <c r="D825" s="324"/>
      <c r="E825" s="324"/>
      <c r="F825" s="324"/>
      <c r="G825" s="324"/>
      <c r="H825" s="324"/>
      <c r="I825" s="324"/>
      <c r="J825" s="324"/>
      <c r="K825" s="324"/>
      <c r="L825" s="324"/>
      <c r="M825" s="324"/>
      <c r="N825" s="324"/>
    </row>
    <row r="826" spans="3:14" x14ac:dyDescent="0.2">
      <c r="C826" s="324"/>
      <c r="D826" s="324"/>
      <c r="E826" s="324"/>
      <c r="F826" s="324"/>
      <c r="G826" s="324"/>
      <c r="H826" s="324"/>
      <c r="I826" s="324"/>
      <c r="J826" s="324"/>
      <c r="K826" s="324"/>
      <c r="L826" s="324"/>
      <c r="M826" s="324"/>
      <c r="N826" s="324"/>
    </row>
    <row r="827" spans="3:14" x14ac:dyDescent="0.2">
      <c r="C827" s="324"/>
      <c r="D827" s="324"/>
      <c r="E827" s="324"/>
      <c r="F827" s="324"/>
      <c r="G827" s="324"/>
      <c r="H827" s="324"/>
      <c r="I827" s="324"/>
      <c r="J827" s="324"/>
      <c r="K827" s="324"/>
      <c r="L827" s="324"/>
      <c r="M827" s="324"/>
      <c r="N827" s="324"/>
    </row>
    <row r="828" spans="3:14" x14ac:dyDescent="0.2">
      <c r="C828" s="324"/>
      <c r="D828" s="324"/>
      <c r="E828" s="324"/>
      <c r="F828" s="324"/>
      <c r="G828" s="324"/>
      <c r="H828" s="324"/>
      <c r="I828" s="324"/>
      <c r="J828" s="324"/>
      <c r="K828" s="324"/>
      <c r="L828" s="324"/>
      <c r="M828" s="324"/>
      <c r="N828" s="324"/>
    </row>
    <row r="829" spans="3:14" x14ac:dyDescent="0.2">
      <c r="C829" s="324"/>
      <c r="D829" s="324"/>
      <c r="E829" s="324"/>
      <c r="F829" s="324"/>
      <c r="G829" s="324"/>
      <c r="H829" s="324"/>
      <c r="I829" s="324"/>
      <c r="J829" s="324"/>
      <c r="K829" s="324"/>
      <c r="L829" s="324"/>
      <c r="M829" s="324"/>
      <c r="N829" s="324"/>
    </row>
    <row r="830" spans="3:14" x14ac:dyDescent="0.2">
      <c r="C830" s="324"/>
      <c r="D830" s="324"/>
      <c r="E830" s="324"/>
      <c r="F830" s="324"/>
      <c r="G830" s="324"/>
      <c r="H830" s="324"/>
      <c r="I830" s="324"/>
      <c r="J830" s="324"/>
      <c r="K830" s="324"/>
      <c r="L830" s="324"/>
      <c r="M830" s="324"/>
      <c r="N830" s="324"/>
    </row>
    <row r="831" spans="3:14" x14ac:dyDescent="0.2">
      <c r="C831" s="324"/>
      <c r="D831" s="324"/>
      <c r="E831" s="324"/>
      <c r="F831" s="324"/>
      <c r="G831" s="324"/>
      <c r="H831" s="324"/>
      <c r="I831" s="324"/>
      <c r="J831" s="324"/>
      <c r="K831" s="324"/>
      <c r="L831" s="324"/>
      <c r="M831" s="324"/>
      <c r="N831" s="324"/>
    </row>
    <row r="832" spans="3:14" x14ac:dyDescent="0.2">
      <c r="C832" s="324"/>
      <c r="D832" s="324"/>
      <c r="E832" s="324"/>
      <c r="F832" s="324"/>
      <c r="G832" s="324"/>
      <c r="H832" s="324"/>
      <c r="I832" s="324"/>
      <c r="J832" s="324"/>
      <c r="K832" s="324"/>
      <c r="L832" s="324"/>
      <c r="M832" s="324"/>
      <c r="N832" s="324"/>
    </row>
    <row r="833" spans="3:14" x14ac:dyDescent="0.2">
      <c r="C833" s="324"/>
      <c r="D833" s="324"/>
      <c r="E833" s="324"/>
      <c r="F833" s="324"/>
      <c r="G833" s="324"/>
      <c r="H833" s="324"/>
      <c r="I833" s="324"/>
      <c r="J833" s="324"/>
      <c r="K833" s="324"/>
      <c r="L833" s="324"/>
      <c r="M833" s="324"/>
      <c r="N833" s="324"/>
    </row>
    <row r="834" spans="3:14" x14ac:dyDescent="0.2">
      <c r="C834" s="324"/>
      <c r="D834" s="324"/>
      <c r="E834" s="324"/>
      <c r="F834" s="324"/>
      <c r="G834" s="324"/>
      <c r="H834" s="324"/>
      <c r="I834" s="324"/>
      <c r="J834" s="324"/>
      <c r="K834" s="324"/>
      <c r="L834" s="324"/>
      <c r="M834" s="324"/>
      <c r="N834" s="324"/>
    </row>
    <row r="835" spans="3:14" x14ac:dyDescent="0.2">
      <c r="C835" s="324"/>
      <c r="D835" s="324"/>
      <c r="E835" s="324"/>
      <c r="F835" s="324"/>
      <c r="G835" s="324"/>
      <c r="H835" s="324"/>
      <c r="I835" s="324"/>
      <c r="J835" s="324"/>
      <c r="K835" s="324"/>
      <c r="L835" s="324"/>
      <c r="M835" s="324"/>
      <c r="N835" s="324"/>
    </row>
    <row r="836" spans="3:14" x14ac:dyDescent="0.2">
      <c r="C836" s="324"/>
      <c r="D836" s="324"/>
      <c r="E836" s="324"/>
      <c r="F836" s="324"/>
      <c r="G836" s="324"/>
      <c r="H836" s="324"/>
      <c r="I836" s="324"/>
      <c r="J836" s="324"/>
      <c r="K836" s="324"/>
      <c r="L836" s="324"/>
      <c r="M836" s="324"/>
      <c r="N836" s="324"/>
    </row>
    <row r="837" spans="3:14" x14ac:dyDescent="0.2">
      <c r="C837" s="324"/>
      <c r="D837" s="324"/>
      <c r="E837" s="324"/>
      <c r="F837" s="324"/>
      <c r="G837" s="324"/>
      <c r="H837" s="324"/>
      <c r="I837" s="324"/>
      <c r="J837" s="324"/>
      <c r="K837" s="324"/>
      <c r="L837" s="324"/>
      <c r="M837" s="324"/>
      <c r="N837" s="324"/>
    </row>
    <row r="838" spans="3:14" x14ac:dyDescent="0.2">
      <c r="C838" s="324"/>
      <c r="D838" s="324"/>
      <c r="E838" s="324"/>
      <c r="F838" s="324"/>
      <c r="G838" s="324"/>
      <c r="H838" s="324"/>
      <c r="I838" s="324"/>
      <c r="J838" s="324"/>
      <c r="K838" s="324"/>
      <c r="L838" s="324"/>
      <c r="M838" s="324"/>
      <c r="N838" s="324"/>
    </row>
    <row r="839" spans="3:14" x14ac:dyDescent="0.2">
      <c r="C839" s="324"/>
      <c r="D839" s="324"/>
      <c r="E839" s="324"/>
      <c r="F839" s="324"/>
      <c r="G839" s="324"/>
      <c r="H839" s="324"/>
      <c r="I839" s="324"/>
      <c r="J839" s="324"/>
      <c r="K839" s="324"/>
      <c r="L839" s="324"/>
      <c r="M839" s="324"/>
      <c r="N839" s="324"/>
    </row>
    <row r="840" spans="3:14" x14ac:dyDescent="0.2">
      <c r="C840" s="324"/>
      <c r="D840" s="324"/>
      <c r="E840" s="324"/>
      <c r="F840" s="324"/>
      <c r="G840" s="324"/>
      <c r="H840" s="324"/>
      <c r="I840" s="324"/>
      <c r="J840" s="324"/>
      <c r="K840" s="324"/>
      <c r="L840" s="324"/>
      <c r="M840" s="324"/>
      <c r="N840" s="324"/>
    </row>
    <row r="841" spans="3:14" x14ac:dyDescent="0.2">
      <c r="C841" s="324"/>
      <c r="D841" s="324"/>
      <c r="E841" s="324"/>
      <c r="F841" s="324"/>
      <c r="G841" s="324"/>
      <c r="H841" s="324"/>
      <c r="I841" s="324"/>
      <c r="J841" s="324"/>
      <c r="K841" s="324"/>
      <c r="L841" s="324"/>
      <c r="M841" s="324"/>
      <c r="N841" s="324"/>
    </row>
    <row r="842" spans="3:14" x14ac:dyDescent="0.2">
      <c r="C842" s="324"/>
      <c r="D842" s="324"/>
      <c r="E842" s="324"/>
      <c r="F842" s="324"/>
      <c r="G842" s="324"/>
      <c r="H842" s="324"/>
      <c r="I842" s="324"/>
      <c r="J842" s="324"/>
      <c r="K842" s="324"/>
      <c r="L842" s="324"/>
      <c r="M842" s="324"/>
      <c r="N842" s="324"/>
    </row>
    <row r="843" spans="3:14" x14ac:dyDescent="0.2">
      <c r="C843" s="324"/>
      <c r="D843" s="324"/>
      <c r="E843" s="324"/>
      <c r="F843" s="324"/>
      <c r="G843" s="324"/>
      <c r="H843" s="324"/>
      <c r="I843" s="324"/>
      <c r="J843" s="324"/>
      <c r="K843" s="324"/>
      <c r="L843" s="324"/>
      <c r="M843" s="324"/>
      <c r="N843" s="324"/>
    </row>
    <row r="844" spans="3:14" x14ac:dyDescent="0.2">
      <c r="C844" s="324"/>
      <c r="D844" s="324"/>
      <c r="E844" s="324"/>
      <c r="F844" s="324"/>
      <c r="G844" s="324"/>
      <c r="H844" s="324"/>
      <c r="I844" s="324"/>
      <c r="J844" s="324"/>
      <c r="K844" s="324"/>
      <c r="L844" s="324"/>
      <c r="M844" s="324"/>
      <c r="N844" s="324"/>
    </row>
    <row r="845" spans="3:14" x14ac:dyDescent="0.2">
      <c r="C845" s="324"/>
      <c r="D845" s="324"/>
      <c r="E845" s="324"/>
      <c r="F845" s="324"/>
      <c r="G845" s="324"/>
      <c r="H845" s="324"/>
      <c r="I845" s="324"/>
      <c r="J845" s="324"/>
      <c r="K845" s="324"/>
      <c r="L845" s="324"/>
      <c r="M845" s="324"/>
      <c r="N845" s="324"/>
    </row>
    <row r="846" spans="3:14" x14ac:dyDescent="0.2">
      <c r="C846" s="324"/>
      <c r="D846" s="324"/>
      <c r="E846" s="324"/>
      <c r="F846" s="324"/>
      <c r="G846" s="324"/>
      <c r="H846" s="324"/>
      <c r="I846" s="324"/>
      <c r="J846" s="324"/>
      <c r="K846" s="324"/>
      <c r="L846" s="324"/>
      <c r="M846" s="324"/>
      <c r="N846" s="324"/>
    </row>
    <row r="847" spans="3:14" x14ac:dyDescent="0.2">
      <c r="C847" s="324"/>
      <c r="D847" s="324"/>
      <c r="E847" s="324"/>
      <c r="F847" s="324"/>
      <c r="G847" s="324"/>
      <c r="H847" s="324"/>
      <c r="I847" s="324"/>
      <c r="J847" s="324"/>
      <c r="K847" s="324"/>
      <c r="L847" s="324"/>
      <c r="M847" s="324"/>
      <c r="N847" s="324"/>
    </row>
    <row r="848" spans="3:14" x14ac:dyDescent="0.2">
      <c r="C848" s="324"/>
      <c r="D848" s="324"/>
      <c r="E848" s="324"/>
      <c r="F848" s="324"/>
      <c r="G848" s="324"/>
      <c r="H848" s="324"/>
      <c r="I848" s="324"/>
      <c r="J848" s="324"/>
      <c r="K848" s="324"/>
      <c r="L848" s="324"/>
      <c r="M848" s="324"/>
      <c r="N848" s="324"/>
    </row>
    <row r="849" spans="3:14" x14ac:dyDescent="0.2">
      <c r="C849" s="324"/>
      <c r="D849" s="324"/>
      <c r="E849" s="324"/>
      <c r="F849" s="324"/>
      <c r="G849" s="324"/>
      <c r="H849" s="324"/>
      <c r="I849" s="324"/>
      <c r="J849" s="324"/>
      <c r="K849" s="324"/>
      <c r="L849" s="324"/>
      <c r="M849" s="324"/>
      <c r="N849" s="324"/>
    </row>
    <row r="850" spans="3:14" x14ac:dyDescent="0.2">
      <c r="C850" s="324"/>
      <c r="D850" s="324"/>
      <c r="E850" s="324"/>
      <c r="F850" s="324"/>
      <c r="G850" s="324"/>
      <c r="H850" s="324"/>
      <c r="I850" s="324"/>
      <c r="J850" s="324"/>
      <c r="K850" s="324"/>
      <c r="L850" s="324"/>
      <c r="M850" s="324"/>
      <c r="N850" s="324"/>
    </row>
    <row r="851" spans="3:14" x14ac:dyDescent="0.2">
      <c r="C851" s="324"/>
      <c r="D851" s="324"/>
      <c r="E851" s="324"/>
      <c r="F851" s="324"/>
      <c r="G851" s="324"/>
      <c r="H851" s="324"/>
      <c r="I851" s="324"/>
      <c r="J851" s="324"/>
      <c r="K851" s="324"/>
      <c r="L851" s="324"/>
      <c r="M851" s="324"/>
      <c r="N851" s="324"/>
    </row>
    <row r="852" spans="3:14" x14ac:dyDescent="0.2">
      <c r="C852" s="324"/>
      <c r="D852" s="324"/>
      <c r="E852" s="324"/>
      <c r="F852" s="324"/>
      <c r="G852" s="324"/>
      <c r="H852" s="324"/>
      <c r="I852" s="324"/>
      <c r="J852" s="324"/>
      <c r="K852" s="324"/>
      <c r="L852" s="324"/>
      <c r="M852" s="324"/>
      <c r="N852" s="324"/>
    </row>
    <row r="853" spans="3:14" x14ac:dyDescent="0.2">
      <c r="C853" s="324"/>
      <c r="D853" s="324"/>
      <c r="E853" s="324"/>
      <c r="F853" s="324"/>
      <c r="G853" s="324"/>
      <c r="H853" s="324"/>
      <c r="I853" s="324"/>
      <c r="J853" s="324"/>
      <c r="K853" s="324"/>
      <c r="L853" s="324"/>
      <c r="M853" s="324"/>
      <c r="N853" s="324"/>
    </row>
    <row r="854" spans="3:14" x14ac:dyDescent="0.2">
      <c r="C854" s="324"/>
      <c r="D854" s="324"/>
      <c r="E854" s="324"/>
      <c r="F854" s="324"/>
      <c r="G854" s="324"/>
      <c r="H854" s="324"/>
      <c r="I854" s="324"/>
      <c r="J854" s="324"/>
      <c r="K854" s="324"/>
      <c r="L854" s="324"/>
      <c r="M854" s="324"/>
      <c r="N854" s="324"/>
    </row>
    <row r="855" spans="3:14" x14ac:dyDescent="0.2">
      <c r="C855" s="324"/>
      <c r="D855" s="324"/>
      <c r="E855" s="324"/>
      <c r="F855" s="324"/>
      <c r="G855" s="324"/>
      <c r="H855" s="324"/>
      <c r="I855" s="324"/>
      <c r="J855" s="324"/>
      <c r="K855" s="324"/>
      <c r="L855" s="324"/>
      <c r="M855" s="324"/>
      <c r="N855" s="324"/>
    </row>
    <row r="856" spans="3:14" x14ac:dyDescent="0.2">
      <c r="C856" s="324"/>
      <c r="D856" s="324"/>
      <c r="E856" s="324"/>
      <c r="F856" s="324"/>
      <c r="G856" s="324"/>
      <c r="H856" s="324"/>
      <c r="I856" s="324"/>
      <c r="J856" s="324"/>
      <c r="K856" s="324"/>
      <c r="L856" s="324"/>
      <c r="M856" s="324"/>
      <c r="N856" s="324"/>
    </row>
    <row r="857" spans="3:14" x14ac:dyDescent="0.2">
      <c r="C857" s="324"/>
      <c r="D857" s="324"/>
      <c r="E857" s="324"/>
      <c r="F857" s="324"/>
      <c r="G857" s="324"/>
      <c r="H857" s="324"/>
      <c r="I857" s="324"/>
      <c r="J857" s="324"/>
      <c r="K857" s="324"/>
      <c r="L857" s="324"/>
      <c r="M857" s="324"/>
      <c r="N857" s="324"/>
    </row>
    <row r="858" spans="3:14" x14ac:dyDescent="0.2">
      <c r="C858" s="324"/>
      <c r="D858" s="324"/>
      <c r="E858" s="324"/>
      <c r="F858" s="324"/>
      <c r="G858" s="324"/>
      <c r="H858" s="324"/>
      <c r="I858" s="324"/>
      <c r="J858" s="324"/>
      <c r="K858" s="324"/>
      <c r="L858" s="324"/>
      <c r="M858" s="324"/>
      <c r="N858" s="324"/>
    </row>
    <row r="859" spans="3:14" x14ac:dyDescent="0.2">
      <c r="C859" s="324"/>
      <c r="D859" s="324"/>
      <c r="E859" s="324"/>
      <c r="F859" s="324"/>
      <c r="G859" s="324"/>
      <c r="H859" s="324"/>
      <c r="I859" s="324"/>
      <c r="J859" s="324"/>
      <c r="K859" s="324"/>
      <c r="L859" s="324"/>
      <c r="M859" s="324"/>
      <c r="N859" s="324"/>
    </row>
    <row r="860" spans="3:14" x14ac:dyDescent="0.2">
      <c r="C860" s="324"/>
      <c r="D860" s="324"/>
      <c r="E860" s="324"/>
      <c r="F860" s="324"/>
      <c r="G860" s="324"/>
      <c r="H860" s="324"/>
      <c r="I860" s="324"/>
      <c r="J860" s="324"/>
      <c r="K860" s="324"/>
      <c r="L860" s="324"/>
      <c r="M860" s="324"/>
      <c r="N860" s="324"/>
    </row>
    <row r="861" spans="3:14" x14ac:dyDescent="0.2">
      <c r="C861" s="324"/>
      <c r="D861" s="324"/>
      <c r="E861" s="324"/>
      <c r="F861" s="324"/>
      <c r="G861" s="324"/>
      <c r="H861" s="324"/>
      <c r="I861" s="324"/>
      <c r="J861" s="324"/>
      <c r="K861" s="324"/>
      <c r="L861" s="324"/>
      <c r="M861" s="324"/>
      <c r="N861" s="324"/>
    </row>
    <row r="862" spans="3:14" x14ac:dyDescent="0.2">
      <c r="C862" s="324"/>
      <c r="D862" s="324"/>
      <c r="E862" s="324"/>
      <c r="F862" s="324"/>
      <c r="G862" s="324"/>
      <c r="H862" s="324"/>
      <c r="I862" s="324"/>
      <c r="J862" s="324"/>
      <c r="K862" s="324"/>
      <c r="L862" s="324"/>
      <c r="M862" s="324"/>
      <c r="N862" s="324"/>
    </row>
    <row r="863" spans="3:14" x14ac:dyDescent="0.2">
      <c r="C863" s="324"/>
      <c r="D863" s="324"/>
      <c r="E863" s="324"/>
      <c r="F863" s="324"/>
      <c r="G863" s="324"/>
      <c r="H863" s="324"/>
      <c r="I863" s="324"/>
      <c r="J863" s="324"/>
      <c r="K863" s="324"/>
      <c r="L863" s="324"/>
      <c r="M863" s="324"/>
      <c r="N863" s="324"/>
    </row>
    <row r="864" spans="3:14" x14ac:dyDescent="0.2">
      <c r="C864" s="324"/>
      <c r="D864" s="324"/>
      <c r="E864" s="324"/>
      <c r="F864" s="324"/>
      <c r="G864" s="324"/>
      <c r="H864" s="324"/>
      <c r="I864" s="324"/>
      <c r="J864" s="324"/>
      <c r="K864" s="324"/>
      <c r="L864" s="324"/>
      <c r="M864" s="324"/>
      <c r="N864" s="324"/>
    </row>
    <row r="865" spans="3:14" x14ac:dyDescent="0.2">
      <c r="C865" s="324"/>
      <c r="D865" s="324"/>
      <c r="E865" s="324"/>
      <c r="F865" s="324"/>
      <c r="G865" s="324"/>
      <c r="H865" s="324"/>
      <c r="I865" s="324"/>
      <c r="J865" s="324"/>
      <c r="K865" s="324"/>
      <c r="L865" s="324"/>
      <c r="M865" s="324"/>
      <c r="N865" s="324"/>
    </row>
    <row r="866" spans="3:14" x14ac:dyDescent="0.2">
      <c r="C866" s="324"/>
      <c r="D866" s="324"/>
      <c r="E866" s="324"/>
      <c r="F866" s="324"/>
      <c r="G866" s="324"/>
      <c r="H866" s="324"/>
      <c r="I866" s="324"/>
      <c r="J866" s="324"/>
      <c r="K866" s="324"/>
      <c r="L866" s="324"/>
      <c r="M866" s="324"/>
      <c r="N866" s="324"/>
    </row>
    <row r="867" spans="3:14" x14ac:dyDescent="0.2">
      <c r="C867" s="324"/>
      <c r="D867" s="324"/>
      <c r="E867" s="324"/>
      <c r="F867" s="324"/>
      <c r="G867" s="324"/>
      <c r="H867" s="324"/>
      <c r="I867" s="324"/>
      <c r="J867" s="324"/>
      <c r="K867" s="324"/>
      <c r="L867" s="324"/>
      <c r="M867" s="324"/>
      <c r="N867" s="324"/>
    </row>
    <row r="868" spans="3:14" x14ac:dyDescent="0.2">
      <c r="C868" s="324"/>
      <c r="D868" s="324"/>
      <c r="E868" s="324"/>
      <c r="F868" s="324"/>
      <c r="G868" s="324"/>
      <c r="H868" s="324"/>
      <c r="I868" s="324"/>
      <c r="J868" s="324"/>
      <c r="K868" s="324"/>
      <c r="L868" s="324"/>
      <c r="M868" s="324"/>
      <c r="N868" s="324"/>
    </row>
    <row r="869" spans="3:14" x14ac:dyDescent="0.2">
      <c r="C869" s="324"/>
      <c r="D869" s="324"/>
      <c r="E869" s="324"/>
      <c r="F869" s="324"/>
      <c r="G869" s="324"/>
      <c r="H869" s="324"/>
      <c r="I869" s="324"/>
      <c r="J869" s="324"/>
      <c r="K869" s="324"/>
      <c r="L869" s="324"/>
      <c r="M869" s="324"/>
      <c r="N869" s="324"/>
    </row>
    <row r="870" spans="3:14" x14ac:dyDescent="0.2">
      <c r="C870" s="324"/>
      <c r="D870" s="324"/>
      <c r="E870" s="324"/>
      <c r="F870" s="324"/>
      <c r="G870" s="324"/>
      <c r="H870" s="324"/>
      <c r="I870" s="324"/>
      <c r="J870" s="324"/>
      <c r="K870" s="324"/>
      <c r="L870" s="324"/>
      <c r="M870" s="324"/>
      <c r="N870" s="324"/>
    </row>
    <row r="871" spans="3:14" x14ac:dyDescent="0.2">
      <c r="C871" s="324"/>
      <c r="D871" s="324"/>
      <c r="E871" s="324"/>
      <c r="F871" s="324"/>
      <c r="G871" s="324"/>
      <c r="H871" s="324"/>
      <c r="I871" s="324"/>
      <c r="J871" s="324"/>
      <c r="K871" s="324"/>
      <c r="L871" s="324"/>
      <c r="M871" s="324"/>
      <c r="N871" s="324"/>
    </row>
    <row r="872" spans="3:14" x14ac:dyDescent="0.2">
      <c r="C872" s="324"/>
      <c r="D872" s="324"/>
      <c r="E872" s="324"/>
      <c r="F872" s="324"/>
      <c r="G872" s="324"/>
      <c r="H872" s="324"/>
      <c r="I872" s="324"/>
      <c r="J872" s="324"/>
      <c r="K872" s="324"/>
      <c r="L872" s="324"/>
      <c r="M872" s="324"/>
      <c r="N872" s="324"/>
    </row>
    <row r="873" spans="3:14" x14ac:dyDescent="0.2">
      <c r="C873" s="324"/>
      <c r="D873" s="324"/>
      <c r="E873" s="324"/>
      <c r="F873" s="324"/>
      <c r="G873" s="324"/>
      <c r="H873" s="324"/>
      <c r="I873" s="324"/>
      <c r="J873" s="324"/>
      <c r="K873" s="324"/>
      <c r="L873" s="324"/>
      <c r="M873" s="324"/>
      <c r="N873" s="324"/>
    </row>
    <row r="874" spans="3:14" x14ac:dyDescent="0.2">
      <c r="C874" s="324"/>
      <c r="D874" s="324"/>
      <c r="E874" s="324"/>
      <c r="F874" s="324"/>
      <c r="G874" s="324"/>
      <c r="H874" s="324"/>
      <c r="I874" s="324"/>
      <c r="J874" s="324"/>
      <c r="K874" s="324"/>
      <c r="L874" s="324"/>
      <c r="M874" s="324"/>
      <c r="N874" s="324"/>
    </row>
    <row r="875" spans="3:14" x14ac:dyDescent="0.2">
      <c r="C875" s="324"/>
      <c r="D875" s="324"/>
      <c r="E875" s="324"/>
      <c r="F875" s="324"/>
      <c r="G875" s="324"/>
      <c r="H875" s="324"/>
      <c r="I875" s="324"/>
      <c r="J875" s="324"/>
      <c r="K875" s="324"/>
      <c r="L875" s="324"/>
      <c r="M875" s="324"/>
      <c r="N875" s="324"/>
    </row>
    <row r="876" spans="3:14" x14ac:dyDescent="0.2">
      <c r="C876" s="324"/>
      <c r="D876" s="324"/>
      <c r="E876" s="324"/>
      <c r="F876" s="324"/>
      <c r="G876" s="324"/>
      <c r="H876" s="324"/>
      <c r="I876" s="324"/>
      <c r="J876" s="324"/>
      <c r="K876" s="324"/>
      <c r="L876" s="324"/>
      <c r="M876" s="324"/>
      <c r="N876" s="324"/>
    </row>
    <row r="877" spans="3:14" x14ac:dyDescent="0.2">
      <c r="C877" s="324"/>
      <c r="D877" s="324"/>
      <c r="E877" s="324"/>
      <c r="F877" s="324"/>
      <c r="G877" s="324"/>
      <c r="H877" s="324"/>
      <c r="I877" s="324"/>
      <c r="J877" s="324"/>
      <c r="K877" s="324"/>
      <c r="L877" s="324"/>
      <c r="M877" s="324"/>
      <c r="N877" s="324"/>
    </row>
    <row r="878" spans="3:14" x14ac:dyDescent="0.2">
      <c r="C878" s="324"/>
      <c r="D878" s="324"/>
      <c r="E878" s="324"/>
      <c r="F878" s="324"/>
      <c r="G878" s="324"/>
      <c r="H878" s="324"/>
      <c r="I878" s="324"/>
      <c r="J878" s="324"/>
      <c r="K878" s="324"/>
      <c r="L878" s="324"/>
      <c r="M878" s="324"/>
      <c r="N878" s="324"/>
    </row>
    <row r="879" spans="3:14" x14ac:dyDescent="0.2">
      <c r="C879" s="324"/>
      <c r="D879" s="324"/>
      <c r="E879" s="324"/>
      <c r="F879" s="324"/>
      <c r="G879" s="324"/>
      <c r="H879" s="324"/>
      <c r="I879" s="324"/>
      <c r="J879" s="324"/>
      <c r="K879" s="324"/>
      <c r="L879" s="324"/>
      <c r="M879" s="324"/>
      <c r="N879" s="324"/>
    </row>
    <row r="880" spans="3:14" x14ac:dyDescent="0.2">
      <c r="C880" s="324"/>
      <c r="D880" s="324"/>
      <c r="E880" s="324"/>
      <c r="F880" s="324"/>
      <c r="G880" s="324"/>
      <c r="H880" s="324"/>
      <c r="I880" s="324"/>
      <c r="J880" s="324"/>
      <c r="K880" s="324"/>
      <c r="L880" s="324"/>
      <c r="M880" s="324"/>
      <c r="N880" s="324"/>
    </row>
    <row r="881" spans="3:14" x14ac:dyDescent="0.2">
      <c r="C881" s="324"/>
      <c r="D881" s="324"/>
      <c r="E881" s="324"/>
      <c r="F881" s="324"/>
      <c r="G881" s="324"/>
      <c r="H881" s="324"/>
      <c r="I881" s="324"/>
      <c r="J881" s="324"/>
      <c r="K881" s="324"/>
      <c r="L881" s="324"/>
      <c r="M881" s="324"/>
      <c r="N881" s="324"/>
    </row>
    <row r="882" spans="3:14" x14ac:dyDescent="0.2">
      <c r="C882" s="324"/>
      <c r="D882" s="324"/>
      <c r="E882" s="324"/>
      <c r="F882" s="324"/>
      <c r="G882" s="324"/>
      <c r="H882" s="324"/>
      <c r="I882" s="324"/>
      <c r="J882" s="324"/>
      <c r="K882" s="324"/>
      <c r="L882" s="324"/>
      <c r="M882" s="324"/>
      <c r="N882" s="324"/>
    </row>
    <row r="883" spans="3:14" x14ac:dyDescent="0.2">
      <c r="C883" s="324"/>
      <c r="D883" s="324"/>
      <c r="E883" s="324"/>
      <c r="F883" s="324"/>
      <c r="G883" s="324"/>
      <c r="H883" s="324"/>
      <c r="I883" s="324"/>
      <c r="J883" s="324"/>
      <c r="K883" s="324"/>
      <c r="L883" s="324"/>
      <c r="M883" s="324"/>
      <c r="N883" s="324"/>
    </row>
    <row r="884" spans="3:14" x14ac:dyDescent="0.2">
      <c r="C884" s="324"/>
      <c r="D884" s="324"/>
      <c r="E884" s="324"/>
      <c r="F884" s="324"/>
      <c r="G884" s="324"/>
      <c r="H884" s="324"/>
      <c r="I884" s="324"/>
      <c r="J884" s="324"/>
      <c r="K884" s="324"/>
      <c r="L884" s="324"/>
      <c r="M884" s="324"/>
      <c r="N884" s="324"/>
    </row>
    <row r="885" spans="3:14" x14ac:dyDescent="0.2">
      <c r="C885" s="324"/>
      <c r="D885" s="324"/>
      <c r="E885" s="324"/>
      <c r="F885" s="324"/>
      <c r="G885" s="324"/>
      <c r="H885" s="324"/>
      <c r="I885" s="324"/>
      <c r="J885" s="324"/>
      <c r="K885" s="324"/>
      <c r="L885" s="324"/>
      <c r="M885" s="324"/>
      <c r="N885" s="324"/>
    </row>
    <row r="886" spans="3:14" x14ac:dyDescent="0.2">
      <c r="C886" s="324"/>
      <c r="D886" s="324"/>
      <c r="E886" s="324"/>
      <c r="F886" s="324"/>
      <c r="G886" s="324"/>
      <c r="H886" s="324"/>
      <c r="I886" s="324"/>
      <c r="J886" s="324"/>
      <c r="K886" s="324"/>
      <c r="L886" s="324"/>
      <c r="M886" s="324"/>
      <c r="N886" s="324"/>
    </row>
    <row r="887" spans="3:14" x14ac:dyDescent="0.2">
      <c r="C887" s="324"/>
      <c r="D887" s="324"/>
      <c r="E887" s="324"/>
      <c r="F887" s="324"/>
      <c r="G887" s="324"/>
      <c r="H887" s="324"/>
      <c r="I887" s="324"/>
      <c r="J887" s="324"/>
      <c r="K887" s="324"/>
      <c r="L887" s="324"/>
      <c r="M887" s="324"/>
      <c r="N887" s="324"/>
    </row>
    <row r="888" spans="3:14" x14ac:dyDescent="0.2">
      <c r="C888" s="324"/>
      <c r="D888" s="324"/>
      <c r="E888" s="324"/>
      <c r="F888" s="324"/>
      <c r="G888" s="324"/>
      <c r="H888" s="324"/>
      <c r="I888" s="324"/>
      <c r="J888" s="324"/>
      <c r="K888" s="324"/>
      <c r="L888" s="324"/>
      <c r="M888" s="324"/>
      <c r="N888" s="324"/>
    </row>
    <row r="889" spans="3:14" x14ac:dyDescent="0.2">
      <c r="C889" s="324"/>
      <c r="D889" s="324"/>
      <c r="E889" s="324"/>
      <c r="F889" s="324"/>
      <c r="G889" s="324"/>
      <c r="H889" s="324"/>
      <c r="I889" s="324"/>
      <c r="J889" s="324"/>
      <c r="K889" s="324"/>
      <c r="L889" s="324"/>
      <c r="M889" s="324"/>
      <c r="N889" s="324"/>
    </row>
    <row r="890" spans="3:14" x14ac:dyDescent="0.2">
      <c r="C890" s="324"/>
      <c r="D890" s="324"/>
      <c r="E890" s="324"/>
      <c r="F890" s="324"/>
      <c r="G890" s="324"/>
      <c r="H890" s="324"/>
      <c r="I890" s="324"/>
      <c r="J890" s="324"/>
      <c r="K890" s="324"/>
      <c r="L890" s="324"/>
      <c r="M890" s="324"/>
      <c r="N890" s="324"/>
    </row>
    <row r="891" spans="3:14" x14ac:dyDescent="0.2">
      <c r="C891" s="324"/>
      <c r="D891" s="324"/>
      <c r="E891" s="324"/>
      <c r="F891" s="324"/>
      <c r="G891" s="324"/>
      <c r="H891" s="324"/>
      <c r="I891" s="324"/>
      <c r="J891" s="324"/>
      <c r="K891" s="324"/>
      <c r="L891" s="324"/>
      <c r="M891" s="324"/>
      <c r="N891" s="324"/>
    </row>
    <row r="892" spans="3:14" x14ac:dyDescent="0.2">
      <c r="C892" s="324"/>
      <c r="D892" s="324"/>
      <c r="E892" s="324"/>
      <c r="F892" s="324"/>
      <c r="G892" s="324"/>
      <c r="H892" s="324"/>
      <c r="I892" s="324"/>
      <c r="J892" s="324"/>
      <c r="K892" s="324"/>
      <c r="L892" s="324"/>
      <c r="M892" s="324"/>
      <c r="N892" s="324"/>
    </row>
    <row r="893" spans="3:14" x14ac:dyDescent="0.2">
      <c r="C893" s="324"/>
      <c r="D893" s="324"/>
      <c r="E893" s="324"/>
      <c r="F893" s="324"/>
      <c r="G893" s="324"/>
      <c r="H893" s="324"/>
      <c r="I893" s="324"/>
      <c r="J893" s="324"/>
      <c r="K893" s="324"/>
      <c r="L893" s="324"/>
      <c r="M893" s="324"/>
      <c r="N893" s="324"/>
    </row>
    <row r="894" spans="3:14" x14ac:dyDescent="0.2">
      <c r="C894" s="324"/>
      <c r="D894" s="324"/>
      <c r="E894" s="324"/>
      <c r="F894" s="324"/>
      <c r="G894" s="324"/>
      <c r="H894" s="324"/>
      <c r="I894" s="324"/>
      <c r="J894" s="324"/>
      <c r="K894" s="324"/>
      <c r="L894" s="324"/>
      <c r="M894" s="324"/>
      <c r="N894" s="324"/>
    </row>
    <row r="895" spans="3:14" x14ac:dyDescent="0.2">
      <c r="C895" s="324"/>
      <c r="D895" s="324"/>
      <c r="E895" s="324"/>
      <c r="F895" s="324"/>
      <c r="G895" s="324"/>
      <c r="H895" s="324"/>
      <c r="I895" s="324"/>
      <c r="J895" s="324"/>
      <c r="K895" s="324"/>
      <c r="L895" s="324"/>
      <c r="M895" s="324"/>
      <c r="N895" s="324"/>
    </row>
    <row r="896" spans="3:14" x14ac:dyDescent="0.2">
      <c r="C896" s="324"/>
      <c r="D896" s="324"/>
      <c r="E896" s="324"/>
      <c r="F896" s="324"/>
      <c r="G896" s="324"/>
      <c r="H896" s="324"/>
      <c r="I896" s="324"/>
      <c r="J896" s="324"/>
      <c r="K896" s="324"/>
      <c r="L896" s="324"/>
      <c r="M896" s="324"/>
      <c r="N896" s="324"/>
    </row>
    <row r="897" spans="3:14" x14ac:dyDescent="0.2">
      <c r="C897" s="324"/>
      <c r="D897" s="324"/>
      <c r="E897" s="324"/>
      <c r="F897" s="324"/>
      <c r="G897" s="324"/>
      <c r="H897" s="324"/>
      <c r="I897" s="324"/>
      <c r="J897" s="324"/>
      <c r="K897" s="324"/>
      <c r="L897" s="324"/>
      <c r="M897" s="324"/>
      <c r="N897" s="324"/>
    </row>
    <row r="898" spans="3:14" x14ac:dyDescent="0.2">
      <c r="C898" s="324"/>
      <c r="D898" s="324"/>
      <c r="E898" s="324"/>
      <c r="F898" s="324"/>
      <c r="G898" s="324"/>
      <c r="H898" s="324"/>
      <c r="I898" s="324"/>
      <c r="J898" s="324"/>
      <c r="K898" s="324"/>
      <c r="L898" s="324"/>
      <c r="M898" s="324"/>
      <c r="N898" s="324"/>
    </row>
    <row r="899" spans="3:14" x14ac:dyDescent="0.2">
      <c r="C899" s="324"/>
      <c r="D899" s="324"/>
      <c r="E899" s="324"/>
      <c r="F899" s="324"/>
      <c r="G899" s="324"/>
      <c r="H899" s="324"/>
      <c r="I899" s="324"/>
      <c r="J899" s="324"/>
      <c r="K899" s="324"/>
      <c r="L899" s="324"/>
      <c r="M899" s="324"/>
      <c r="N899" s="324"/>
    </row>
    <row r="900" spans="3:14" x14ac:dyDescent="0.2">
      <c r="C900" s="324"/>
      <c r="D900" s="324"/>
      <c r="E900" s="324"/>
      <c r="F900" s="324"/>
      <c r="G900" s="324"/>
      <c r="H900" s="324"/>
      <c r="I900" s="324"/>
      <c r="J900" s="324"/>
      <c r="K900" s="324"/>
      <c r="L900" s="324"/>
      <c r="M900" s="324"/>
      <c r="N900" s="324"/>
    </row>
    <row r="901" spans="3:14" x14ac:dyDescent="0.2">
      <c r="C901" s="324"/>
      <c r="D901" s="324"/>
      <c r="E901" s="324"/>
      <c r="F901" s="324"/>
      <c r="G901" s="324"/>
      <c r="H901" s="324"/>
      <c r="I901" s="324"/>
      <c r="J901" s="324"/>
      <c r="K901" s="324"/>
      <c r="L901" s="324"/>
      <c r="M901" s="324"/>
      <c r="N901" s="324"/>
    </row>
    <row r="902" spans="3:14" x14ac:dyDescent="0.2">
      <c r="C902" s="324"/>
      <c r="D902" s="324"/>
      <c r="E902" s="324"/>
      <c r="F902" s="324"/>
      <c r="G902" s="324"/>
      <c r="H902" s="324"/>
      <c r="I902" s="324"/>
      <c r="J902" s="324"/>
      <c r="K902" s="324"/>
      <c r="L902" s="324"/>
      <c r="M902" s="324"/>
      <c r="N902" s="324"/>
    </row>
    <row r="903" spans="3:14" x14ac:dyDescent="0.2">
      <c r="C903" s="324"/>
      <c r="D903" s="324"/>
      <c r="E903" s="324"/>
      <c r="F903" s="324"/>
      <c r="G903" s="324"/>
      <c r="H903" s="324"/>
      <c r="I903" s="324"/>
      <c r="J903" s="324"/>
      <c r="K903" s="324"/>
      <c r="L903" s="324"/>
      <c r="M903" s="324"/>
      <c r="N903" s="324"/>
    </row>
    <row r="904" spans="3:14" x14ac:dyDescent="0.2">
      <c r="C904" s="324"/>
      <c r="D904" s="324"/>
      <c r="E904" s="324"/>
      <c r="F904" s="324"/>
      <c r="G904" s="324"/>
      <c r="H904" s="324"/>
      <c r="I904" s="324"/>
      <c r="J904" s="324"/>
      <c r="K904" s="324"/>
      <c r="L904" s="324"/>
      <c r="M904" s="324"/>
      <c r="N904" s="324"/>
    </row>
    <row r="905" spans="3:14" x14ac:dyDescent="0.2">
      <c r="C905" s="324"/>
      <c r="D905" s="324"/>
      <c r="E905" s="324"/>
      <c r="F905" s="324"/>
      <c r="G905" s="324"/>
      <c r="H905" s="324"/>
      <c r="I905" s="324"/>
      <c r="J905" s="324"/>
      <c r="K905" s="324"/>
      <c r="L905" s="324"/>
      <c r="M905" s="324"/>
      <c r="N905" s="324"/>
    </row>
    <row r="906" spans="3:14" x14ac:dyDescent="0.2">
      <c r="C906" s="324"/>
      <c r="D906" s="324"/>
      <c r="E906" s="324"/>
      <c r="F906" s="324"/>
      <c r="G906" s="324"/>
      <c r="H906" s="324"/>
      <c r="I906" s="324"/>
      <c r="J906" s="324"/>
      <c r="K906" s="324"/>
      <c r="L906" s="324"/>
      <c r="M906" s="324"/>
      <c r="N906" s="324"/>
    </row>
    <row r="907" spans="3:14" x14ac:dyDescent="0.2">
      <c r="C907" s="324"/>
      <c r="D907" s="324"/>
      <c r="E907" s="324"/>
      <c r="F907" s="324"/>
      <c r="G907" s="324"/>
      <c r="H907" s="324"/>
      <c r="I907" s="324"/>
      <c r="J907" s="324"/>
      <c r="K907" s="324"/>
      <c r="L907" s="324"/>
      <c r="M907" s="324"/>
      <c r="N907" s="324"/>
    </row>
    <row r="908" spans="3:14" x14ac:dyDescent="0.2">
      <c r="C908" s="324"/>
      <c r="D908" s="324"/>
      <c r="E908" s="324"/>
      <c r="F908" s="324"/>
      <c r="G908" s="324"/>
      <c r="H908" s="324"/>
      <c r="I908" s="324"/>
      <c r="J908" s="324"/>
      <c r="K908" s="324"/>
      <c r="L908" s="324"/>
      <c r="M908" s="324"/>
      <c r="N908" s="324"/>
    </row>
    <row r="909" spans="3:14" x14ac:dyDescent="0.2">
      <c r="C909" s="324"/>
      <c r="D909" s="324"/>
      <c r="E909" s="324"/>
      <c r="F909" s="324"/>
      <c r="G909" s="324"/>
      <c r="H909" s="324"/>
      <c r="I909" s="324"/>
      <c r="J909" s="324"/>
      <c r="K909" s="324"/>
      <c r="L909" s="324"/>
      <c r="M909" s="324"/>
      <c r="N909" s="324"/>
    </row>
    <row r="910" spans="3:14" x14ac:dyDescent="0.2">
      <c r="C910" s="324"/>
      <c r="D910" s="324"/>
      <c r="E910" s="324"/>
      <c r="F910" s="324"/>
      <c r="G910" s="324"/>
      <c r="H910" s="324"/>
      <c r="I910" s="324"/>
      <c r="J910" s="324"/>
      <c r="K910" s="324"/>
      <c r="L910" s="324"/>
      <c r="M910" s="324"/>
      <c r="N910" s="324"/>
    </row>
    <row r="911" spans="3:14" x14ac:dyDescent="0.2">
      <c r="C911" s="324"/>
      <c r="D911" s="324"/>
      <c r="E911" s="324"/>
      <c r="F911" s="324"/>
      <c r="G911" s="324"/>
      <c r="H911" s="324"/>
      <c r="I911" s="324"/>
      <c r="J911" s="324"/>
      <c r="K911" s="324"/>
      <c r="L911" s="324"/>
      <c r="M911" s="324"/>
      <c r="N911" s="324"/>
    </row>
    <row r="912" spans="3:14" x14ac:dyDescent="0.2">
      <c r="C912" s="324"/>
      <c r="D912" s="324"/>
      <c r="E912" s="324"/>
      <c r="F912" s="324"/>
      <c r="G912" s="324"/>
      <c r="H912" s="324"/>
      <c r="I912" s="324"/>
      <c r="J912" s="324"/>
      <c r="K912" s="324"/>
      <c r="L912" s="324"/>
      <c r="M912" s="324"/>
      <c r="N912" s="324"/>
    </row>
    <row r="913" spans="3:14" x14ac:dyDescent="0.2">
      <c r="C913" s="324"/>
      <c r="D913" s="324"/>
      <c r="E913" s="324"/>
      <c r="F913" s="324"/>
      <c r="G913" s="324"/>
      <c r="H913" s="324"/>
      <c r="I913" s="324"/>
      <c r="J913" s="324"/>
      <c r="K913" s="324"/>
      <c r="L913" s="324"/>
      <c r="M913" s="324"/>
      <c r="N913" s="324"/>
    </row>
    <row r="914" spans="3:14" x14ac:dyDescent="0.2">
      <c r="C914" s="324"/>
      <c r="D914" s="324"/>
      <c r="E914" s="324"/>
      <c r="F914" s="324"/>
      <c r="G914" s="324"/>
      <c r="H914" s="324"/>
      <c r="I914" s="324"/>
      <c r="J914" s="324"/>
      <c r="K914" s="324"/>
      <c r="L914" s="324"/>
      <c r="M914" s="324"/>
      <c r="N914" s="324"/>
    </row>
    <row r="915" spans="3:14" x14ac:dyDescent="0.2">
      <c r="C915" s="324"/>
      <c r="D915" s="324"/>
      <c r="E915" s="324"/>
      <c r="F915" s="324"/>
      <c r="G915" s="324"/>
      <c r="H915" s="324"/>
      <c r="I915" s="324"/>
      <c r="J915" s="324"/>
      <c r="K915" s="324"/>
      <c r="L915" s="324"/>
      <c r="M915" s="324"/>
      <c r="N915" s="324"/>
    </row>
    <row r="916" spans="3:14" x14ac:dyDescent="0.2">
      <c r="C916" s="324"/>
      <c r="D916" s="324"/>
      <c r="E916" s="324"/>
      <c r="F916" s="324"/>
      <c r="G916" s="324"/>
      <c r="H916" s="324"/>
      <c r="I916" s="324"/>
      <c r="J916" s="324"/>
      <c r="K916" s="324"/>
      <c r="L916" s="324"/>
      <c r="M916" s="324"/>
      <c r="N916" s="324"/>
    </row>
    <row r="917" spans="3:14" x14ac:dyDescent="0.2">
      <c r="C917" s="324"/>
      <c r="D917" s="324"/>
      <c r="E917" s="324"/>
      <c r="F917" s="324"/>
      <c r="G917" s="324"/>
      <c r="H917" s="324"/>
      <c r="I917" s="324"/>
      <c r="J917" s="324"/>
      <c r="K917" s="324"/>
      <c r="L917" s="324"/>
      <c r="M917" s="324"/>
      <c r="N917" s="324"/>
    </row>
    <row r="918" spans="3:14" x14ac:dyDescent="0.2">
      <c r="C918" s="324"/>
      <c r="D918" s="324"/>
      <c r="E918" s="324"/>
      <c r="F918" s="324"/>
      <c r="G918" s="324"/>
      <c r="H918" s="324"/>
      <c r="I918" s="324"/>
      <c r="J918" s="324"/>
      <c r="K918" s="324"/>
      <c r="L918" s="324"/>
      <c r="M918" s="324"/>
      <c r="N918" s="324"/>
    </row>
  </sheetData>
  <mergeCells count="1">
    <mergeCell ref="A1:N1"/>
  </mergeCells>
  <phoneticPr fontId="3" type="noConversion"/>
  <pageMargins left="0.5" right="0.78740157480314965" top="0.17" bottom="0.17" header="0.51181102362204722" footer="0.25"/>
  <pageSetup paperSize="9" scale="24" orientation="landscape" r:id="rId1"/>
  <headerFooter alignWithMargins="0">
    <oddHeader>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4497567-C0D4-4F8F-ACB1-4463255A4E41}"/>
</file>

<file path=customXml/itemProps2.xml><?xml version="1.0" encoding="utf-8"?>
<ds:datastoreItem xmlns:ds="http://schemas.openxmlformats.org/officeDocument/2006/customXml" ds:itemID="{B6BC005A-8430-4584-A1DA-4114831A5277}"/>
</file>

<file path=customXml/itemProps3.xml><?xml version="1.0" encoding="utf-8"?>
<ds:datastoreItem xmlns:ds="http://schemas.openxmlformats.org/officeDocument/2006/customXml" ds:itemID="{5E98AE5C-3056-4453-AD56-CD0EAE3C9E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11</vt:i4>
      </vt:variant>
    </vt:vector>
  </HeadingPairs>
  <TitlesOfParts>
    <vt:vector size="43" baseType="lpstr">
      <vt:lpstr>1.sz. melléklet</vt:lpstr>
      <vt:lpstr>2.sz.melléklet</vt:lpstr>
      <vt:lpstr>3.sz.melléklet</vt:lpstr>
      <vt:lpstr>4. sz.melléklet</vt:lpstr>
      <vt:lpstr>5. sz.melléklet</vt:lpstr>
      <vt:lpstr>5.a.sz. melléklet</vt:lpstr>
      <vt:lpstr>5.b.sz. melléklet</vt:lpstr>
      <vt:lpstr>6. sz.melléklet</vt:lpstr>
      <vt:lpstr>6.a.sz. melléklet</vt:lpstr>
      <vt:lpstr>6.b.sz.melléklet</vt:lpstr>
      <vt:lpstr>6.c.sz. melléklet</vt:lpstr>
      <vt:lpstr>7.sz.melléklet</vt:lpstr>
      <vt:lpstr>8.sz. melléklet</vt:lpstr>
      <vt:lpstr>9.sz. melléklet</vt:lpstr>
      <vt:lpstr>10.sz. melléklet </vt:lpstr>
      <vt:lpstr>11.sz.melléklet</vt:lpstr>
      <vt:lpstr>11.a.sz.melléklet</vt:lpstr>
      <vt:lpstr>12.sz.melléklet</vt:lpstr>
      <vt:lpstr>12.a.sz.melléklet</vt:lpstr>
      <vt:lpstr>13.sz.melléklet</vt:lpstr>
      <vt:lpstr>13.a.sz. melléklet</vt:lpstr>
      <vt:lpstr>14.sz.melléklet</vt:lpstr>
      <vt:lpstr>14.a.sz. melléklet</vt:lpstr>
      <vt:lpstr>15.sz.melléklet</vt:lpstr>
      <vt:lpstr>15.a.sz.melléklet</vt:lpstr>
      <vt:lpstr>16.sz. melléklet</vt:lpstr>
      <vt:lpstr>16.a.sz. melléklet</vt:lpstr>
      <vt:lpstr>17. sz.melléklet</vt:lpstr>
      <vt:lpstr>18.sz.melléklet</vt:lpstr>
      <vt:lpstr>19.sz.melléklet</vt:lpstr>
      <vt:lpstr>20.sz. melléklet</vt:lpstr>
      <vt:lpstr>21.sz.melléklet</vt:lpstr>
      <vt:lpstr>'6. sz.melléklet'!Nyomtatási_cím</vt:lpstr>
      <vt:lpstr>'1.sz. melléklet'!Nyomtatási_terület</vt:lpstr>
      <vt:lpstr>'10.sz. melléklet '!Nyomtatási_terület</vt:lpstr>
      <vt:lpstr>'17. sz.melléklet'!Nyomtatási_terület</vt:lpstr>
      <vt:lpstr>'4. sz.melléklet'!Nyomtatási_terület</vt:lpstr>
      <vt:lpstr>'5. sz.melléklet'!Nyomtatási_terület</vt:lpstr>
      <vt:lpstr>'5.b.sz. melléklet'!Nyomtatási_terület</vt:lpstr>
      <vt:lpstr>'8.sz. melléklet'!Nyomtatási_terület</vt:lpstr>
      <vt:lpstr>'9.sz. melléklet'!Nyomtatási_terület</vt:lpstr>
      <vt:lpstr>'11.a.sz.melléklet'!sora__5</vt:lpstr>
      <vt:lpstr>'11.sz.melléklet'!sora__5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farkas</dc:title>
  <dc:creator>Polgármesteri Hivatal</dc:creator>
  <cp:lastModifiedBy>Penzugy</cp:lastModifiedBy>
  <cp:lastPrinted>2020-09-02T11:48:08Z</cp:lastPrinted>
  <dcterms:created xsi:type="dcterms:W3CDTF">2002-01-23T07:14:43Z</dcterms:created>
  <dcterms:modified xsi:type="dcterms:W3CDTF">2020-09-02T13:57:35Z</dcterms:modified>
</cp:coreProperties>
</file>